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ants\Hertz-Picciotto\ACTIVE\2014 CEHS resubmission\pilot call\"/>
    </mc:Choice>
  </mc:AlternateContent>
  <bookViews>
    <workbookView xWindow="0" yWindow="0" windowWidth="29280" windowHeight="10560" tabRatio="983" firstSheet="10" activeTab="11"/>
  </bookViews>
  <sheets>
    <sheet name="W1" sheetId="1" state="hidden" r:id="rId1"/>
    <sheet name="W2" sheetId="5" state="hidden" r:id="rId2"/>
    <sheet name="W3" sheetId="9" state="hidden" r:id="rId3"/>
    <sheet name="W4" sheetId="13" state="hidden" r:id="rId4"/>
    <sheet name="W5" sheetId="17" state="hidden" r:id="rId5"/>
    <sheet name="W6" sheetId="21" state="hidden" r:id="rId6"/>
    <sheet name="W7" sheetId="25" state="hidden" r:id="rId7"/>
    <sheet name="W8" sheetId="29" state="hidden" r:id="rId8"/>
    <sheet name="W9" sheetId="33" state="hidden" r:id="rId9"/>
    <sheet name="W10" sheetId="37" state="hidden" r:id="rId10"/>
    <sheet name=" Summary and Instructions" sheetId="42" r:id="rId11"/>
    <sheet name="Pilot Project Budget" sheetId="2" r:id="rId12"/>
    <sheet name="Subcontract 1" sheetId="6" r:id="rId13"/>
    <sheet name="Subcontract 2" sheetId="44" r:id="rId14"/>
    <sheet name="R9" sheetId="34" state="hidden" r:id="rId15"/>
    <sheet name="R10" sheetId="38" state="hidden" r:id="rId16"/>
    <sheet name="F9" sheetId="35" state="hidden" r:id="rId17"/>
    <sheet name="F10" sheetId="39" state="hidden" r:id="rId18"/>
    <sheet name="P9" sheetId="36" state="hidden" r:id="rId19"/>
    <sheet name="P10" sheetId="40" state="hidden" r:id="rId20"/>
  </sheets>
  <definedNames>
    <definedName name="_xlnm.Print_Area" localSheetId="11">'Pilot Project Budget'!$A$1:$S$204</definedName>
    <definedName name="_xlnm.Print_Area" localSheetId="15">'R10'!$A$1:$S$211</definedName>
    <definedName name="_xlnm.Print_Area" localSheetId="14">'R9'!$A$1:$S$211</definedName>
    <definedName name="_xlnm.Print_Area" localSheetId="12">'Subcontract 1'!$A$1:$S$138</definedName>
    <definedName name="_xlnm.Print_Area" localSheetId="13">'Subcontract 2'!$A$1:$S$138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2" l="1"/>
  <c r="N84" i="2"/>
  <c r="B15" i="1"/>
  <c r="B16" i="1" s="1"/>
  <c r="B2" i="1"/>
  <c r="C162" i="1"/>
  <c r="D162" i="1"/>
  <c r="B162" i="1"/>
  <c r="C2" i="1"/>
  <c r="C4" i="1" s="1"/>
  <c r="B3" i="1"/>
  <c r="C1" i="1"/>
  <c r="C163" i="1"/>
  <c r="D163" i="1" s="1"/>
  <c r="B163" i="1"/>
  <c r="C164" i="1"/>
  <c r="D164" i="1" s="1"/>
  <c r="B164" i="1"/>
  <c r="C165" i="1"/>
  <c r="D165" i="1"/>
  <c r="B165" i="1"/>
  <c r="C166" i="1"/>
  <c r="D166" i="1" s="1"/>
  <c r="B166" i="1"/>
  <c r="C167" i="1"/>
  <c r="D167" i="1"/>
  <c r="B167" i="1"/>
  <c r="C168" i="1"/>
  <c r="D168" i="1" s="1"/>
  <c r="B168" i="1"/>
  <c r="C169" i="1"/>
  <c r="D169" i="1"/>
  <c r="B169" i="1"/>
  <c r="C170" i="1"/>
  <c r="D170" i="1"/>
  <c r="B170" i="1"/>
  <c r="C171" i="1"/>
  <c r="D171" i="1" s="1"/>
  <c r="B171" i="1"/>
  <c r="C172" i="1"/>
  <c r="D172" i="1"/>
  <c r="B172" i="1"/>
  <c r="C173" i="1"/>
  <c r="D173" i="1"/>
  <c r="B173" i="1"/>
  <c r="N121" i="2"/>
  <c r="N8" i="6"/>
  <c r="N71" i="6"/>
  <c r="N108" i="6"/>
  <c r="N108" i="44"/>
  <c r="N71" i="44"/>
  <c r="N8" i="44"/>
  <c r="N35" i="44" s="1"/>
  <c r="N73" i="2"/>
  <c r="N151" i="2"/>
  <c r="O8" i="44"/>
  <c r="O108" i="44"/>
  <c r="O71" i="44"/>
  <c r="O8" i="6"/>
  <c r="O35" i="6"/>
  <c r="O71" i="6"/>
  <c r="O108" i="6"/>
  <c r="B3" i="5"/>
  <c r="B5" i="5" s="1"/>
  <c r="N4" i="6" s="1"/>
  <c r="F36" i="1"/>
  <c r="N134" i="44"/>
  <c r="N9" i="44"/>
  <c r="N10" i="44"/>
  <c r="N11" i="44"/>
  <c r="N12" i="44"/>
  <c r="N39" i="44" s="1"/>
  <c r="N36" i="44"/>
  <c r="O134" i="44"/>
  <c r="O9" i="44"/>
  <c r="O36" i="44" s="1"/>
  <c r="O10" i="44"/>
  <c r="O37" i="44" s="1"/>
  <c r="O11" i="44"/>
  <c r="O38" i="44" s="1"/>
  <c r="O12" i="44"/>
  <c r="O39" i="44" s="1"/>
  <c r="R71" i="44"/>
  <c r="R108" i="44"/>
  <c r="R134" i="44"/>
  <c r="Q71" i="44"/>
  <c r="Q108" i="44"/>
  <c r="Q134" i="44"/>
  <c r="P71" i="44"/>
  <c r="P108" i="44"/>
  <c r="P134" i="44"/>
  <c r="S136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8" i="44"/>
  <c r="S117" i="44"/>
  <c r="S116" i="44"/>
  <c r="S114" i="44"/>
  <c r="S113" i="44"/>
  <c r="S112" i="44"/>
  <c r="S111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98" i="44"/>
  <c r="S99" i="44"/>
  <c r="S100" i="44"/>
  <c r="S101" i="44"/>
  <c r="S102" i="44"/>
  <c r="S103" i="44"/>
  <c r="S104" i="44"/>
  <c r="S105" i="44"/>
  <c r="S106" i="44"/>
  <c r="S107" i="44"/>
  <c r="S73" i="44"/>
  <c r="S63" i="44"/>
  <c r="S64" i="44"/>
  <c r="S65" i="44"/>
  <c r="S66" i="44"/>
  <c r="S67" i="44"/>
  <c r="S68" i="44"/>
  <c r="S69" i="44"/>
  <c r="S70" i="44"/>
  <c r="L58" i="44"/>
  <c r="J58" i="44"/>
  <c r="H58" i="44"/>
  <c r="F58" i="44"/>
  <c r="E58" i="44"/>
  <c r="B58" i="44"/>
  <c r="L57" i="44"/>
  <c r="J57" i="44"/>
  <c r="H57" i="44"/>
  <c r="F57" i="44"/>
  <c r="E57" i="44"/>
  <c r="B57" i="44"/>
  <c r="L56" i="44"/>
  <c r="J56" i="44"/>
  <c r="H56" i="44"/>
  <c r="F56" i="44"/>
  <c r="E56" i="44"/>
  <c r="B56" i="44"/>
  <c r="L55" i="44"/>
  <c r="J55" i="44"/>
  <c r="H55" i="44"/>
  <c r="F55" i="44"/>
  <c r="E55" i="44"/>
  <c r="B55" i="44"/>
  <c r="L54" i="44"/>
  <c r="J54" i="44"/>
  <c r="H54" i="44"/>
  <c r="F54" i="44"/>
  <c r="E54" i="44"/>
  <c r="B54" i="44"/>
  <c r="L53" i="44"/>
  <c r="J53" i="44"/>
  <c r="H53" i="44"/>
  <c r="F53" i="44"/>
  <c r="E53" i="44"/>
  <c r="B53" i="44"/>
  <c r="L52" i="44"/>
  <c r="J52" i="44"/>
  <c r="H52" i="44"/>
  <c r="F52" i="44"/>
  <c r="E52" i="44"/>
  <c r="B52" i="44"/>
  <c r="L51" i="44"/>
  <c r="J51" i="44"/>
  <c r="H51" i="44"/>
  <c r="F51" i="44"/>
  <c r="E51" i="44"/>
  <c r="B51" i="44"/>
  <c r="L50" i="44"/>
  <c r="J50" i="44"/>
  <c r="H50" i="44"/>
  <c r="F50" i="44"/>
  <c r="E50" i="44"/>
  <c r="B50" i="44"/>
  <c r="L49" i="44"/>
  <c r="J49" i="44"/>
  <c r="H49" i="44"/>
  <c r="F49" i="44"/>
  <c r="E49" i="44"/>
  <c r="B49" i="44"/>
  <c r="L48" i="44"/>
  <c r="J48" i="44"/>
  <c r="H48" i="44"/>
  <c r="F48" i="44"/>
  <c r="E48" i="44"/>
  <c r="B48" i="44"/>
  <c r="L47" i="44"/>
  <c r="J47" i="44"/>
  <c r="H47" i="44"/>
  <c r="F47" i="44"/>
  <c r="E47" i="44"/>
  <c r="B47" i="44"/>
  <c r="L46" i="44"/>
  <c r="J46" i="44"/>
  <c r="H46" i="44"/>
  <c r="F46" i="44"/>
  <c r="E46" i="44"/>
  <c r="B46" i="44"/>
  <c r="L45" i="44"/>
  <c r="J45" i="44"/>
  <c r="H45" i="44"/>
  <c r="F45" i="44"/>
  <c r="E45" i="44"/>
  <c r="B45" i="44"/>
  <c r="L44" i="44"/>
  <c r="J44" i="44"/>
  <c r="H44" i="44"/>
  <c r="F44" i="44"/>
  <c r="E44" i="44"/>
  <c r="B44" i="44"/>
  <c r="L43" i="44"/>
  <c r="J43" i="44"/>
  <c r="H43" i="44"/>
  <c r="F43" i="44"/>
  <c r="E43" i="44"/>
  <c r="B43" i="44"/>
  <c r="L42" i="44"/>
  <c r="J42" i="44"/>
  <c r="H42" i="44"/>
  <c r="F42" i="44"/>
  <c r="E42" i="44"/>
  <c r="B42" i="44"/>
  <c r="L41" i="44"/>
  <c r="J41" i="44"/>
  <c r="H41" i="44"/>
  <c r="F41" i="44"/>
  <c r="E41" i="44"/>
  <c r="B41" i="44"/>
  <c r="L40" i="44"/>
  <c r="J40" i="44"/>
  <c r="H40" i="44"/>
  <c r="F40" i="44"/>
  <c r="E40" i="44"/>
  <c r="B40" i="44"/>
  <c r="B39" i="44"/>
  <c r="B38" i="44"/>
  <c r="B37" i="44"/>
  <c r="B36" i="44"/>
  <c r="B35" i="44"/>
  <c r="R34" i="44"/>
  <c r="Q34" i="44"/>
  <c r="P34" i="44"/>
  <c r="O34" i="44"/>
  <c r="N34" i="44"/>
  <c r="N134" i="6"/>
  <c r="S134" i="6" s="1"/>
  <c r="N9" i="6"/>
  <c r="N36" i="6" s="1"/>
  <c r="N10" i="6"/>
  <c r="N11" i="6"/>
  <c r="N12" i="6"/>
  <c r="B2" i="5"/>
  <c r="C2" i="5"/>
  <c r="C4" i="5" s="1"/>
  <c r="C1" i="5"/>
  <c r="N37" i="6"/>
  <c r="N38" i="6"/>
  <c r="N39" i="6"/>
  <c r="O134" i="6"/>
  <c r="O9" i="6"/>
  <c r="O10" i="6"/>
  <c r="O11" i="6"/>
  <c r="O38" i="6" s="1"/>
  <c r="O12" i="6"/>
  <c r="O39" i="6" s="1"/>
  <c r="O36" i="6"/>
  <c r="O37" i="6"/>
  <c r="B104" i="5"/>
  <c r="C121" i="5"/>
  <c r="C136" i="5"/>
  <c r="B15" i="5"/>
  <c r="B16" i="5" s="1"/>
  <c r="B19" i="1"/>
  <c r="O73" i="2"/>
  <c r="O121" i="2"/>
  <c r="O151" i="2"/>
  <c r="P73" i="2"/>
  <c r="P84" i="2"/>
  <c r="P121" i="2"/>
  <c r="P139" i="2"/>
  <c r="P151" i="2"/>
  <c r="Q73" i="2"/>
  <c r="Q84" i="2"/>
  <c r="Q121" i="2"/>
  <c r="Q139" i="2"/>
  <c r="Q151" i="2"/>
  <c r="R73" i="2"/>
  <c r="R84" i="2"/>
  <c r="R121" i="2"/>
  <c r="R139" i="2"/>
  <c r="R151" i="2"/>
  <c r="B104" i="1"/>
  <c r="B105" i="1"/>
  <c r="B106" i="1"/>
  <c r="C106" i="1"/>
  <c r="C123" i="1"/>
  <c r="B107" i="1"/>
  <c r="C124" i="1" s="1"/>
  <c r="C107" i="1"/>
  <c r="D124" i="1" s="1"/>
  <c r="B108" i="1"/>
  <c r="C125" i="1" s="1"/>
  <c r="C108" i="1"/>
  <c r="B109" i="1"/>
  <c r="C109" i="1"/>
  <c r="C126" i="1" s="1"/>
  <c r="B110" i="1"/>
  <c r="C127" i="1" s="1"/>
  <c r="C110" i="1"/>
  <c r="B111" i="1"/>
  <c r="C128" i="1" s="1"/>
  <c r="C111" i="1"/>
  <c r="B112" i="1"/>
  <c r="C112" i="1"/>
  <c r="C129" i="1"/>
  <c r="B113" i="1"/>
  <c r="C113" i="1"/>
  <c r="C130" i="1"/>
  <c r="B114" i="1"/>
  <c r="C114" i="1"/>
  <c r="C131" i="1"/>
  <c r="B115" i="1"/>
  <c r="C115" i="1"/>
  <c r="D132" i="1" s="1"/>
  <c r="B116" i="1"/>
  <c r="C133" i="1" s="1"/>
  <c r="C116" i="1"/>
  <c r="B117" i="1"/>
  <c r="C117" i="1"/>
  <c r="C134" i="1" s="1"/>
  <c r="B118" i="1"/>
  <c r="C135" i="1" s="1"/>
  <c r="C118" i="1"/>
  <c r="B121" i="1"/>
  <c r="D118" i="1"/>
  <c r="E135" i="1" s="1"/>
  <c r="B135" i="1"/>
  <c r="B122" i="1"/>
  <c r="B123" i="1"/>
  <c r="D123" i="1" s="1"/>
  <c r="D106" i="1"/>
  <c r="B124" i="1"/>
  <c r="D107" i="1"/>
  <c r="B125" i="1"/>
  <c r="D108" i="1"/>
  <c r="D125" i="1"/>
  <c r="B126" i="1"/>
  <c r="D126" i="1" s="1"/>
  <c r="D109" i="1"/>
  <c r="B127" i="1"/>
  <c r="D127" i="1" s="1"/>
  <c r="D110" i="1"/>
  <c r="B128" i="1"/>
  <c r="D111" i="1"/>
  <c r="D128" i="1" s="1"/>
  <c r="B129" i="1"/>
  <c r="D129" i="1" s="1"/>
  <c r="D112" i="1"/>
  <c r="B130" i="1"/>
  <c r="D130" i="1" s="1"/>
  <c r="D113" i="1"/>
  <c r="B131" i="1"/>
  <c r="D114" i="1"/>
  <c r="D131" i="1"/>
  <c r="B132" i="1"/>
  <c r="D115" i="1"/>
  <c r="B133" i="1"/>
  <c r="D116" i="1"/>
  <c r="D133" i="1"/>
  <c r="B134" i="1"/>
  <c r="D117" i="1"/>
  <c r="C162" i="5"/>
  <c r="D162" i="5"/>
  <c r="B162" i="5"/>
  <c r="E162" i="5"/>
  <c r="F162" i="5"/>
  <c r="C25" i="5"/>
  <c r="C26" i="5"/>
  <c r="C163" i="5"/>
  <c r="D163" i="5"/>
  <c r="B163" i="5"/>
  <c r="E163" i="5"/>
  <c r="F163" i="5"/>
  <c r="C164" i="5"/>
  <c r="D164" i="5"/>
  <c r="B164" i="5"/>
  <c r="E164" i="5"/>
  <c r="F164" i="5"/>
  <c r="C165" i="5"/>
  <c r="D165" i="5"/>
  <c r="B165" i="5"/>
  <c r="E165" i="5"/>
  <c r="F165" i="5"/>
  <c r="C166" i="5"/>
  <c r="D166" i="5"/>
  <c r="B166" i="5"/>
  <c r="E166" i="5"/>
  <c r="F166" i="5"/>
  <c r="C167" i="5"/>
  <c r="D167" i="5"/>
  <c r="B167" i="5"/>
  <c r="E167" i="5"/>
  <c r="F167" i="5"/>
  <c r="C168" i="5"/>
  <c r="D168" i="5"/>
  <c r="B168" i="5"/>
  <c r="E168" i="5"/>
  <c r="F168" i="5"/>
  <c r="C169" i="5"/>
  <c r="D169" i="5"/>
  <c r="B169" i="5"/>
  <c r="E169" i="5"/>
  <c r="F169" i="5"/>
  <c r="C170" i="5"/>
  <c r="D170" i="5"/>
  <c r="B170" i="5"/>
  <c r="E170" i="5"/>
  <c r="F170" i="5"/>
  <c r="C171" i="5"/>
  <c r="D171" i="5"/>
  <c r="B171" i="5"/>
  <c r="E171" i="5"/>
  <c r="F171" i="5"/>
  <c r="C172" i="5"/>
  <c r="D172" i="5"/>
  <c r="B172" i="5"/>
  <c r="E172" i="5"/>
  <c r="F172" i="5"/>
  <c r="C173" i="5"/>
  <c r="D173" i="5"/>
  <c r="B173" i="5"/>
  <c r="E173" i="5"/>
  <c r="F173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P134" i="6"/>
  <c r="P71" i="6"/>
  <c r="P108" i="6"/>
  <c r="I162" i="5"/>
  <c r="I163" i="5"/>
  <c r="I164" i="5"/>
  <c r="I165" i="5"/>
  <c r="I166" i="5"/>
  <c r="I167" i="5"/>
  <c r="I168" i="5"/>
  <c r="I169" i="5"/>
  <c r="I170" i="5"/>
  <c r="I171" i="5"/>
  <c r="I172" i="5"/>
  <c r="I173" i="5"/>
  <c r="Q134" i="6"/>
  <c r="Q71" i="6"/>
  <c r="Q108" i="6"/>
  <c r="J162" i="5"/>
  <c r="J163" i="5"/>
  <c r="J164" i="5"/>
  <c r="J165" i="5"/>
  <c r="J166" i="5"/>
  <c r="J167" i="5"/>
  <c r="J168" i="5"/>
  <c r="J169" i="5"/>
  <c r="J170" i="5"/>
  <c r="J171" i="5"/>
  <c r="J172" i="5"/>
  <c r="J173" i="5"/>
  <c r="R134" i="6"/>
  <c r="R71" i="6"/>
  <c r="R108" i="6"/>
  <c r="B15" i="9"/>
  <c r="B23" i="9" s="1"/>
  <c r="B2" i="9"/>
  <c r="C2" i="9" s="1"/>
  <c r="C4" i="9" s="1"/>
  <c r="B3" i="9"/>
  <c r="B5" i="9"/>
  <c r="C3" i="9" s="1"/>
  <c r="D2" i="9" s="1"/>
  <c r="D25" i="9" s="1"/>
  <c r="C1" i="9"/>
  <c r="C5" i="9"/>
  <c r="E162" i="9"/>
  <c r="F162" i="9"/>
  <c r="C25" i="9"/>
  <c r="C26" i="9" s="1"/>
  <c r="E163" i="9"/>
  <c r="F163" i="9"/>
  <c r="E164" i="9"/>
  <c r="F164" i="9"/>
  <c r="E165" i="9"/>
  <c r="F165" i="9"/>
  <c r="E166" i="9"/>
  <c r="F166" i="9"/>
  <c r="E167" i="9"/>
  <c r="F167" i="9"/>
  <c r="E168" i="9"/>
  <c r="F168" i="9"/>
  <c r="E169" i="9"/>
  <c r="F169" i="9"/>
  <c r="E170" i="9"/>
  <c r="F170" i="9"/>
  <c r="E171" i="9"/>
  <c r="F171" i="9"/>
  <c r="E172" i="9"/>
  <c r="F172" i="9"/>
  <c r="E173" i="9"/>
  <c r="F173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F36" i="37"/>
  <c r="G36" i="37" s="1"/>
  <c r="H36" i="37" s="1"/>
  <c r="I36" i="37"/>
  <c r="J36" i="37" s="1"/>
  <c r="K36" i="37" s="1"/>
  <c r="L36" i="37" s="1"/>
  <c r="F37" i="37"/>
  <c r="G37" i="37"/>
  <c r="H37" i="37" s="1"/>
  <c r="I37" i="37" s="1"/>
  <c r="J37" i="37"/>
  <c r="K37" i="37" s="1"/>
  <c r="L37" i="37" s="1"/>
  <c r="F38" i="37"/>
  <c r="G38" i="37" s="1"/>
  <c r="H38" i="37" s="1"/>
  <c r="I38" i="37" s="1"/>
  <c r="J38" i="37" s="1"/>
  <c r="K38" i="37"/>
  <c r="L38" i="37" s="1"/>
  <c r="F39" i="37"/>
  <c r="G39" i="37"/>
  <c r="H39" i="37" s="1"/>
  <c r="I39" i="37" s="1"/>
  <c r="J39" i="37" s="1"/>
  <c r="K39" i="37" s="1"/>
  <c r="L39" i="37" s="1"/>
  <c r="F40" i="37"/>
  <c r="G40" i="37"/>
  <c r="H40" i="37"/>
  <c r="I40" i="37" s="1"/>
  <c r="J40" i="37"/>
  <c r="K40" i="37" s="1"/>
  <c r="L40" i="37" s="1"/>
  <c r="F41" i="37"/>
  <c r="G41" i="37" s="1"/>
  <c r="H41" i="37" s="1"/>
  <c r="I41" i="37" s="1"/>
  <c r="J41" i="37" s="1"/>
  <c r="K41" i="37"/>
  <c r="L41" i="37" s="1"/>
  <c r="F42" i="37"/>
  <c r="G42" i="37"/>
  <c r="H42" i="37" s="1"/>
  <c r="I42" i="37" s="1"/>
  <c r="J42" i="37" s="1"/>
  <c r="K42" i="37" s="1"/>
  <c r="L42" i="37"/>
  <c r="F43" i="37"/>
  <c r="G43" i="37" s="1"/>
  <c r="H43" i="37" s="1"/>
  <c r="I43" i="37" s="1"/>
  <c r="J43" i="37" s="1"/>
  <c r="K43" i="37" s="1"/>
  <c r="L43" i="37" s="1"/>
  <c r="F35" i="37"/>
  <c r="G35" i="37" s="1"/>
  <c r="H35" i="37" s="1"/>
  <c r="I35" i="37" s="1"/>
  <c r="J35" i="37" s="1"/>
  <c r="K35" i="37" s="1"/>
  <c r="L35" i="37" s="1"/>
  <c r="F36" i="33"/>
  <c r="G36" i="33"/>
  <c r="H36" i="33" s="1"/>
  <c r="I36" i="33" s="1"/>
  <c r="J36" i="33"/>
  <c r="K36" i="33" s="1"/>
  <c r="L36" i="33" s="1"/>
  <c r="F37" i="33"/>
  <c r="G37" i="33" s="1"/>
  <c r="H37" i="33" s="1"/>
  <c r="I37" i="33" s="1"/>
  <c r="J37" i="33" s="1"/>
  <c r="K37" i="33" s="1"/>
  <c r="L37" i="33" s="1"/>
  <c r="F38" i="33"/>
  <c r="G38" i="33"/>
  <c r="H38" i="33" s="1"/>
  <c r="I38" i="33"/>
  <c r="J38" i="33" s="1"/>
  <c r="K38" i="33" s="1"/>
  <c r="L38" i="33" s="1"/>
  <c r="F39" i="33"/>
  <c r="G39" i="33" s="1"/>
  <c r="H39" i="33" s="1"/>
  <c r="I39" i="33" s="1"/>
  <c r="J39" i="33"/>
  <c r="K39" i="33" s="1"/>
  <c r="L39" i="33" s="1"/>
  <c r="F40" i="33"/>
  <c r="G40" i="33" s="1"/>
  <c r="H40" i="33" s="1"/>
  <c r="I40" i="33" s="1"/>
  <c r="J40" i="33" s="1"/>
  <c r="K40" i="33" s="1"/>
  <c r="L40" i="33" s="1"/>
  <c r="F41" i="33"/>
  <c r="G41" i="33"/>
  <c r="H41" i="33" s="1"/>
  <c r="I41" i="33" s="1"/>
  <c r="J41" i="33" s="1"/>
  <c r="K41" i="33" s="1"/>
  <c r="L41" i="33"/>
  <c r="F42" i="33"/>
  <c r="G42" i="33" s="1"/>
  <c r="H42" i="33"/>
  <c r="I42" i="33" s="1"/>
  <c r="J42" i="33" s="1"/>
  <c r="K42" i="33" s="1"/>
  <c r="L42" i="33" s="1"/>
  <c r="F43" i="33"/>
  <c r="G43" i="33" s="1"/>
  <c r="H43" i="33" s="1"/>
  <c r="I43" i="33" s="1"/>
  <c r="J43" i="33" s="1"/>
  <c r="K43" i="33" s="1"/>
  <c r="L43" i="33" s="1"/>
  <c r="F35" i="33"/>
  <c r="G35" i="33"/>
  <c r="H35" i="33" s="1"/>
  <c r="I35" i="33" s="1"/>
  <c r="J35" i="33" s="1"/>
  <c r="K35" i="33" s="1"/>
  <c r="L35" i="33" s="1"/>
  <c r="F36" i="29"/>
  <c r="G36" i="29"/>
  <c r="H36" i="29"/>
  <c r="I36" i="29"/>
  <c r="J36" i="29"/>
  <c r="K36" i="29"/>
  <c r="L36" i="29"/>
  <c r="F37" i="29"/>
  <c r="G37" i="29"/>
  <c r="H37" i="29"/>
  <c r="I37" i="29"/>
  <c r="J37" i="29"/>
  <c r="K37" i="29"/>
  <c r="L37" i="29"/>
  <c r="F38" i="29"/>
  <c r="G38" i="29"/>
  <c r="H38" i="29"/>
  <c r="I38" i="29"/>
  <c r="J38" i="29"/>
  <c r="K38" i="29"/>
  <c r="L38" i="29"/>
  <c r="F39" i="29"/>
  <c r="G39" i="29"/>
  <c r="H39" i="29"/>
  <c r="I39" i="29"/>
  <c r="J39" i="29"/>
  <c r="K39" i="29"/>
  <c r="L39" i="29"/>
  <c r="F40" i="29"/>
  <c r="G40" i="29"/>
  <c r="H40" i="29"/>
  <c r="I40" i="29"/>
  <c r="J40" i="29"/>
  <c r="K40" i="29"/>
  <c r="L40" i="29"/>
  <c r="F41" i="29"/>
  <c r="G41" i="29"/>
  <c r="H41" i="29"/>
  <c r="I41" i="29"/>
  <c r="J41" i="29"/>
  <c r="K41" i="29"/>
  <c r="L41" i="29"/>
  <c r="F42" i="29"/>
  <c r="G42" i="29"/>
  <c r="H42" i="29"/>
  <c r="I42" i="29"/>
  <c r="J42" i="29"/>
  <c r="K42" i="29"/>
  <c r="L42" i="29"/>
  <c r="F43" i="29"/>
  <c r="G43" i="29"/>
  <c r="H43" i="29"/>
  <c r="I43" i="29"/>
  <c r="J43" i="29"/>
  <c r="K43" i="29"/>
  <c r="L43" i="29"/>
  <c r="F35" i="29"/>
  <c r="G35" i="29"/>
  <c r="H35" i="29"/>
  <c r="I35" i="29"/>
  <c r="J35" i="29"/>
  <c r="K35" i="29"/>
  <c r="L35" i="29"/>
  <c r="F36" i="25"/>
  <c r="G36" i="25"/>
  <c r="H36" i="25"/>
  <c r="I36" i="25"/>
  <c r="J36" i="25"/>
  <c r="K36" i="25"/>
  <c r="L36" i="25"/>
  <c r="F37" i="25"/>
  <c r="G37" i="25"/>
  <c r="H37" i="25"/>
  <c r="I37" i="25"/>
  <c r="J37" i="25"/>
  <c r="K37" i="25"/>
  <c r="L37" i="25"/>
  <c r="F38" i="25"/>
  <c r="G38" i="25"/>
  <c r="H38" i="25"/>
  <c r="I38" i="25"/>
  <c r="J38" i="25"/>
  <c r="K38" i="25"/>
  <c r="L38" i="25"/>
  <c r="F39" i="25"/>
  <c r="G39" i="25"/>
  <c r="H39" i="25"/>
  <c r="I39" i="25"/>
  <c r="J39" i="25"/>
  <c r="K39" i="25"/>
  <c r="L39" i="25"/>
  <c r="F40" i="25"/>
  <c r="G40" i="25"/>
  <c r="H40" i="25"/>
  <c r="I40" i="25"/>
  <c r="J40" i="25"/>
  <c r="K40" i="25"/>
  <c r="L40" i="25"/>
  <c r="F41" i="25"/>
  <c r="G41" i="25"/>
  <c r="H41" i="25"/>
  <c r="I41" i="25"/>
  <c r="J41" i="25"/>
  <c r="K41" i="25"/>
  <c r="L41" i="25"/>
  <c r="F42" i="25"/>
  <c r="G42" i="25"/>
  <c r="H42" i="25"/>
  <c r="I42" i="25"/>
  <c r="J42" i="25"/>
  <c r="K42" i="25"/>
  <c r="L42" i="25"/>
  <c r="F43" i="25"/>
  <c r="G43" i="25"/>
  <c r="H43" i="25"/>
  <c r="I43" i="25"/>
  <c r="J43" i="25"/>
  <c r="K43" i="25"/>
  <c r="L43" i="25"/>
  <c r="F35" i="25"/>
  <c r="G35" i="25"/>
  <c r="H35" i="25"/>
  <c r="I35" i="25"/>
  <c r="J35" i="25"/>
  <c r="K35" i="25"/>
  <c r="L35" i="25"/>
  <c r="F40" i="21"/>
  <c r="G40" i="21"/>
  <c r="H40" i="21"/>
  <c r="I40" i="21"/>
  <c r="J40" i="21"/>
  <c r="K40" i="21"/>
  <c r="L40" i="21"/>
  <c r="F41" i="21"/>
  <c r="G41" i="21"/>
  <c r="H41" i="21"/>
  <c r="I41" i="21"/>
  <c r="J41" i="21"/>
  <c r="K41" i="21"/>
  <c r="L41" i="21"/>
  <c r="F42" i="21"/>
  <c r="G42" i="21"/>
  <c r="H42" i="21"/>
  <c r="I42" i="21"/>
  <c r="J42" i="21"/>
  <c r="K42" i="21"/>
  <c r="L42" i="21"/>
  <c r="F43" i="21"/>
  <c r="G43" i="21"/>
  <c r="H43" i="21"/>
  <c r="I43" i="21"/>
  <c r="J43" i="21"/>
  <c r="K43" i="21"/>
  <c r="L43" i="21"/>
  <c r="F36" i="21"/>
  <c r="G36" i="21"/>
  <c r="H36" i="21"/>
  <c r="I36" i="21"/>
  <c r="J36" i="21"/>
  <c r="K36" i="21"/>
  <c r="L36" i="21"/>
  <c r="F37" i="21"/>
  <c r="G37" i="21"/>
  <c r="H37" i="21"/>
  <c r="I37" i="21"/>
  <c r="J37" i="21"/>
  <c r="K37" i="21"/>
  <c r="L37" i="21"/>
  <c r="F38" i="21"/>
  <c r="G38" i="21"/>
  <c r="H38" i="21"/>
  <c r="I38" i="21"/>
  <c r="J38" i="21"/>
  <c r="K38" i="21"/>
  <c r="L38" i="21"/>
  <c r="F39" i="21"/>
  <c r="G39" i="21"/>
  <c r="H39" i="21"/>
  <c r="I39" i="21"/>
  <c r="J39" i="21"/>
  <c r="K39" i="21"/>
  <c r="L39" i="21"/>
  <c r="F35" i="21"/>
  <c r="G35" i="21"/>
  <c r="H35" i="21"/>
  <c r="I35" i="21"/>
  <c r="J35" i="21"/>
  <c r="K35" i="21"/>
  <c r="L35" i="21"/>
  <c r="F36" i="17"/>
  <c r="G36" i="17"/>
  <c r="H36" i="17"/>
  <c r="I36" i="17"/>
  <c r="J36" i="17"/>
  <c r="K36" i="17"/>
  <c r="L36" i="17"/>
  <c r="F37" i="17"/>
  <c r="G37" i="17"/>
  <c r="H37" i="17"/>
  <c r="I37" i="17"/>
  <c r="J37" i="17"/>
  <c r="K37" i="17"/>
  <c r="L37" i="17"/>
  <c r="F38" i="17"/>
  <c r="G38" i="17"/>
  <c r="H38" i="17"/>
  <c r="I38" i="17"/>
  <c r="J38" i="17"/>
  <c r="K38" i="17"/>
  <c r="L38" i="17"/>
  <c r="F39" i="17"/>
  <c r="G39" i="17"/>
  <c r="H39" i="17"/>
  <c r="I39" i="17"/>
  <c r="J39" i="17"/>
  <c r="K39" i="17"/>
  <c r="L39" i="17"/>
  <c r="F40" i="17"/>
  <c r="G40" i="17"/>
  <c r="H40" i="17"/>
  <c r="I40" i="17"/>
  <c r="J40" i="17"/>
  <c r="K40" i="17"/>
  <c r="L40" i="17"/>
  <c r="F41" i="17"/>
  <c r="G41" i="17"/>
  <c r="H41" i="17"/>
  <c r="I41" i="17"/>
  <c r="J41" i="17"/>
  <c r="K41" i="17"/>
  <c r="L41" i="17"/>
  <c r="F42" i="17"/>
  <c r="G42" i="17"/>
  <c r="H42" i="17"/>
  <c r="I42" i="17"/>
  <c r="J42" i="17"/>
  <c r="K42" i="17"/>
  <c r="L42" i="17"/>
  <c r="F43" i="17"/>
  <c r="G43" i="17"/>
  <c r="H43" i="17"/>
  <c r="I43" i="17"/>
  <c r="J43" i="17"/>
  <c r="K43" i="17"/>
  <c r="L43" i="17"/>
  <c r="F35" i="17"/>
  <c r="G35" i="17"/>
  <c r="H35" i="17"/>
  <c r="I35" i="17"/>
  <c r="J35" i="17"/>
  <c r="K35" i="17"/>
  <c r="L35" i="17"/>
  <c r="F39" i="13"/>
  <c r="G39" i="13"/>
  <c r="H39" i="13"/>
  <c r="I39" i="13"/>
  <c r="J39" i="13"/>
  <c r="K39" i="13"/>
  <c r="L39" i="13"/>
  <c r="F40" i="13"/>
  <c r="G40" i="13"/>
  <c r="H40" i="13"/>
  <c r="I40" i="13"/>
  <c r="J40" i="13"/>
  <c r="K40" i="13"/>
  <c r="L40" i="13"/>
  <c r="F41" i="13"/>
  <c r="G41" i="13"/>
  <c r="H41" i="13"/>
  <c r="I41" i="13"/>
  <c r="J41" i="13"/>
  <c r="K41" i="13"/>
  <c r="L41" i="13"/>
  <c r="F42" i="13"/>
  <c r="G42" i="13"/>
  <c r="H42" i="13"/>
  <c r="I42" i="13"/>
  <c r="J42" i="13"/>
  <c r="K42" i="13"/>
  <c r="L42" i="13"/>
  <c r="F43" i="13"/>
  <c r="G43" i="13"/>
  <c r="H43" i="13"/>
  <c r="I43" i="13"/>
  <c r="J43" i="13"/>
  <c r="K43" i="13"/>
  <c r="L43" i="13"/>
  <c r="F36" i="13"/>
  <c r="G36" i="13"/>
  <c r="H36" i="13"/>
  <c r="I36" i="13"/>
  <c r="J36" i="13"/>
  <c r="K36" i="13"/>
  <c r="L36" i="13"/>
  <c r="F37" i="13"/>
  <c r="G37" i="13"/>
  <c r="H37" i="13"/>
  <c r="I37" i="13"/>
  <c r="J37" i="13"/>
  <c r="K37" i="13"/>
  <c r="L37" i="13"/>
  <c r="F38" i="13"/>
  <c r="G38" i="13"/>
  <c r="H38" i="13"/>
  <c r="I38" i="13"/>
  <c r="J38" i="13"/>
  <c r="K38" i="13"/>
  <c r="L38" i="13"/>
  <c r="F35" i="13"/>
  <c r="G35" i="13"/>
  <c r="H35" i="13"/>
  <c r="I35" i="13"/>
  <c r="J35" i="13"/>
  <c r="K35" i="13"/>
  <c r="L35" i="13"/>
  <c r="G40" i="9"/>
  <c r="H40" i="9"/>
  <c r="I40" i="9"/>
  <c r="J40" i="9"/>
  <c r="K40" i="9"/>
  <c r="L40" i="9"/>
  <c r="F36" i="9"/>
  <c r="G36" i="9"/>
  <c r="H36" i="9"/>
  <c r="I36" i="9"/>
  <c r="J36" i="9"/>
  <c r="K36" i="9"/>
  <c r="L36" i="9"/>
  <c r="F37" i="9"/>
  <c r="G37" i="9"/>
  <c r="H37" i="9"/>
  <c r="I37" i="9"/>
  <c r="J37" i="9"/>
  <c r="K37" i="9"/>
  <c r="L37" i="9"/>
  <c r="F38" i="9"/>
  <c r="G38" i="9"/>
  <c r="H38" i="9"/>
  <c r="I38" i="9"/>
  <c r="J38" i="9"/>
  <c r="K38" i="9"/>
  <c r="L38" i="9"/>
  <c r="F39" i="9"/>
  <c r="G39" i="9"/>
  <c r="H39" i="9"/>
  <c r="I39" i="9"/>
  <c r="J39" i="9"/>
  <c r="K39" i="9"/>
  <c r="L39" i="9"/>
  <c r="F40" i="9"/>
  <c r="F41" i="9"/>
  <c r="G41" i="9"/>
  <c r="H41" i="9"/>
  <c r="I41" i="9"/>
  <c r="J41" i="9"/>
  <c r="K41" i="9"/>
  <c r="L41" i="9"/>
  <c r="F42" i="9"/>
  <c r="G42" i="9"/>
  <c r="H42" i="9"/>
  <c r="I42" i="9"/>
  <c r="J42" i="9"/>
  <c r="K42" i="9"/>
  <c r="L42" i="9"/>
  <c r="F43" i="9"/>
  <c r="G43" i="9"/>
  <c r="H43" i="9"/>
  <c r="I43" i="9"/>
  <c r="J43" i="9"/>
  <c r="K43" i="9"/>
  <c r="L43" i="9"/>
  <c r="F35" i="9"/>
  <c r="G35" i="9"/>
  <c r="H35" i="9"/>
  <c r="I35" i="9"/>
  <c r="J35" i="9"/>
  <c r="K35" i="9"/>
  <c r="L35" i="9"/>
  <c r="F36" i="5"/>
  <c r="G36" i="5"/>
  <c r="H36" i="5"/>
  <c r="I36" i="5"/>
  <c r="J36" i="5"/>
  <c r="K36" i="5"/>
  <c r="L36" i="5"/>
  <c r="F37" i="5"/>
  <c r="G37" i="5"/>
  <c r="H37" i="5"/>
  <c r="I37" i="5"/>
  <c r="J37" i="5"/>
  <c r="K37" i="5"/>
  <c r="L37" i="5"/>
  <c r="F38" i="5"/>
  <c r="G38" i="5"/>
  <c r="H38" i="5"/>
  <c r="I38" i="5"/>
  <c r="J38" i="5"/>
  <c r="K38" i="5"/>
  <c r="L38" i="5"/>
  <c r="F39" i="5"/>
  <c r="G39" i="5"/>
  <c r="H39" i="5"/>
  <c r="I39" i="5"/>
  <c r="J39" i="5"/>
  <c r="K39" i="5"/>
  <c r="L39" i="5"/>
  <c r="F40" i="5"/>
  <c r="G40" i="5"/>
  <c r="H40" i="5"/>
  <c r="I40" i="5"/>
  <c r="J40" i="5"/>
  <c r="K40" i="5"/>
  <c r="L40" i="5"/>
  <c r="F41" i="5"/>
  <c r="G41" i="5"/>
  <c r="H41" i="5"/>
  <c r="I41" i="5"/>
  <c r="J41" i="5"/>
  <c r="K41" i="5"/>
  <c r="L41" i="5"/>
  <c r="F42" i="5"/>
  <c r="G42" i="5"/>
  <c r="H42" i="5"/>
  <c r="I42" i="5"/>
  <c r="J42" i="5"/>
  <c r="K42" i="5"/>
  <c r="L42" i="5"/>
  <c r="F43" i="5"/>
  <c r="G43" i="5"/>
  <c r="H43" i="5"/>
  <c r="I43" i="5"/>
  <c r="J43" i="5"/>
  <c r="K43" i="5"/>
  <c r="L43" i="5"/>
  <c r="F35" i="5"/>
  <c r="G35" i="5"/>
  <c r="H35" i="5"/>
  <c r="I35" i="5"/>
  <c r="J35" i="5"/>
  <c r="K35" i="5"/>
  <c r="L35" i="5"/>
  <c r="H36" i="1"/>
  <c r="I36" i="1" s="1"/>
  <c r="J36" i="1" s="1"/>
  <c r="K36" i="1" s="1"/>
  <c r="L36" i="1" s="1"/>
  <c r="F37" i="1"/>
  <c r="H37" i="1" s="1"/>
  <c r="I37" i="1" s="1"/>
  <c r="J37" i="1" s="1"/>
  <c r="K37" i="1" s="1"/>
  <c r="L37" i="1" s="1"/>
  <c r="F38" i="1"/>
  <c r="H38" i="1" s="1"/>
  <c r="I38" i="1" s="1"/>
  <c r="J38" i="1" s="1"/>
  <c r="K38" i="1" s="1"/>
  <c r="L38" i="1" s="1"/>
  <c r="F39" i="1"/>
  <c r="H39" i="1"/>
  <c r="I39" i="1" s="1"/>
  <c r="J39" i="1" s="1"/>
  <c r="K39" i="1" s="1"/>
  <c r="L39" i="1" s="1"/>
  <c r="F40" i="1"/>
  <c r="H40" i="1" s="1"/>
  <c r="I40" i="1" s="1"/>
  <c r="J40" i="1" s="1"/>
  <c r="K40" i="1" s="1"/>
  <c r="L40" i="1" s="1"/>
  <c r="F41" i="1"/>
  <c r="H41" i="1" s="1"/>
  <c r="I41" i="1" s="1"/>
  <c r="J41" i="1" s="1"/>
  <c r="K41" i="1" s="1"/>
  <c r="L41" i="1" s="1"/>
  <c r="F42" i="1"/>
  <c r="H42" i="1"/>
  <c r="I42" i="1" s="1"/>
  <c r="J42" i="1"/>
  <c r="K42" i="1" s="1"/>
  <c r="L42" i="1" s="1"/>
  <c r="F43" i="1"/>
  <c r="H43" i="1" s="1"/>
  <c r="I43" i="1" s="1"/>
  <c r="J43" i="1" s="1"/>
  <c r="K43" i="1" s="1"/>
  <c r="L43" i="1" s="1"/>
  <c r="F35" i="1"/>
  <c r="I35" i="1"/>
  <c r="J35" i="1" s="1"/>
  <c r="K35" i="1" s="1"/>
  <c r="L35" i="1" s="1"/>
  <c r="K40" i="40"/>
  <c r="J40" i="40"/>
  <c r="I40" i="40"/>
  <c r="H40" i="40"/>
  <c r="G40" i="40"/>
  <c r="K39" i="40"/>
  <c r="J39" i="40"/>
  <c r="I39" i="40"/>
  <c r="H39" i="40"/>
  <c r="G39" i="40"/>
  <c r="K38" i="40"/>
  <c r="J38" i="40"/>
  <c r="I38" i="40"/>
  <c r="H38" i="40"/>
  <c r="G38" i="40"/>
  <c r="K37" i="40"/>
  <c r="J37" i="40"/>
  <c r="I37" i="40"/>
  <c r="H37" i="40"/>
  <c r="G37" i="40"/>
  <c r="R33" i="40"/>
  <c r="Q33" i="40"/>
  <c r="P33" i="40"/>
  <c r="O33" i="40"/>
  <c r="N33" i="40"/>
  <c r="K33" i="40"/>
  <c r="J33" i="40"/>
  <c r="I33" i="40"/>
  <c r="H33" i="40"/>
  <c r="G33" i="40"/>
  <c r="R32" i="40"/>
  <c r="Q32" i="40"/>
  <c r="P32" i="40"/>
  <c r="O32" i="40"/>
  <c r="N32" i="40"/>
  <c r="K32" i="40"/>
  <c r="J32" i="40"/>
  <c r="I32" i="40"/>
  <c r="H32" i="40"/>
  <c r="G32" i="40"/>
  <c r="R31" i="40"/>
  <c r="Q31" i="40"/>
  <c r="P31" i="40"/>
  <c r="O31" i="40"/>
  <c r="N31" i="40"/>
  <c r="K31" i="40"/>
  <c r="J31" i="40"/>
  <c r="I31" i="40"/>
  <c r="H31" i="40"/>
  <c r="G31" i="40"/>
  <c r="R30" i="40"/>
  <c r="Q30" i="40"/>
  <c r="P30" i="40"/>
  <c r="O30" i="40"/>
  <c r="N30" i="40"/>
  <c r="K30" i="40"/>
  <c r="J30" i="40"/>
  <c r="I30" i="40"/>
  <c r="H30" i="40"/>
  <c r="G30" i="40"/>
  <c r="S26" i="40"/>
  <c r="B26" i="40"/>
  <c r="A26" i="40"/>
  <c r="S25" i="40"/>
  <c r="B25" i="40"/>
  <c r="A25" i="40"/>
  <c r="S24" i="40"/>
  <c r="B24" i="40"/>
  <c r="A24" i="40"/>
  <c r="S23" i="40"/>
  <c r="B23" i="40"/>
  <c r="A23" i="40"/>
  <c r="S22" i="40"/>
  <c r="B22" i="40"/>
  <c r="A22" i="40"/>
  <c r="S21" i="40"/>
  <c r="B21" i="40"/>
  <c r="A21" i="40"/>
  <c r="S20" i="40"/>
  <c r="B20" i="40"/>
  <c r="A345" i="37" s="1"/>
  <c r="A20" i="40"/>
  <c r="S19" i="40"/>
  <c r="B19" i="40"/>
  <c r="A19" i="40"/>
  <c r="S18" i="40"/>
  <c r="B18" i="40"/>
  <c r="A18" i="40"/>
  <c r="S17" i="40"/>
  <c r="B17" i="40"/>
  <c r="A17" i="40"/>
  <c r="S16" i="40"/>
  <c r="B16" i="40"/>
  <c r="A16" i="40"/>
  <c r="S15" i="40"/>
  <c r="B15" i="40"/>
  <c r="A15" i="40"/>
  <c r="S14" i="40"/>
  <c r="B14" i="40"/>
  <c r="A339" i="37" s="1"/>
  <c r="A14" i="40"/>
  <c r="S13" i="40"/>
  <c r="B13" i="40"/>
  <c r="A13" i="40"/>
  <c r="S12" i="40"/>
  <c r="B12" i="40"/>
  <c r="A337" i="37"/>
  <c r="A12" i="40"/>
  <c r="S11" i="40"/>
  <c r="B11" i="40"/>
  <c r="A11" i="40"/>
  <c r="S10" i="40"/>
  <c r="B10" i="40"/>
  <c r="A335" i="37" s="1"/>
  <c r="A10" i="40"/>
  <c r="S9" i="40"/>
  <c r="B9" i="40"/>
  <c r="A9" i="40"/>
  <c r="S8" i="40"/>
  <c r="B8" i="40"/>
  <c r="A8" i="40"/>
  <c r="S7" i="40"/>
  <c r="B7" i="40"/>
  <c r="A7" i="40"/>
  <c r="S6" i="40"/>
  <c r="B6" i="40"/>
  <c r="A6" i="40"/>
  <c r="S5" i="40"/>
  <c r="B5" i="40"/>
  <c r="A5" i="40"/>
  <c r="S4" i="40"/>
  <c r="B4" i="40"/>
  <c r="A329" i="37"/>
  <c r="A4" i="40"/>
  <c r="S3" i="40"/>
  <c r="B3" i="40"/>
  <c r="A3" i="40"/>
  <c r="A2" i="40"/>
  <c r="A10" i="39"/>
  <c r="C9" i="39"/>
  <c r="C10" i="39"/>
  <c r="A6" i="39"/>
  <c r="A1" i="39"/>
  <c r="A1" i="40" s="1"/>
  <c r="S209" i="38"/>
  <c r="S204" i="38"/>
  <c r="S203" i="38"/>
  <c r="S202" i="38"/>
  <c r="S201" i="38"/>
  <c r="S200" i="38"/>
  <c r="S199" i="38"/>
  <c r="S198" i="38"/>
  <c r="S197" i="38"/>
  <c r="S196" i="38"/>
  <c r="S195" i="38"/>
  <c r="S194" i="38"/>
  <c r="S193" i="38"/>
  <c r="S192" i="38"/>
  <c r="S191" i="38"/>
  <c r="S190" i="38"/>
  <c r="S189" i="38"/>
  <c r="S188" i="38"/>
  <c r="S187" i="38"/>
  <c r="S185" i="38"/>
  <c r="S184" i="38"/>
  <c r="S183" i="38"/>
  <c r="S182" i="38"/>
  <c r="S181" i="38"/>
  <c r="S180" i="38"/>
  <c r="S179" i="38"/>
  <c r="S178" i="38"/>
  <c r="S176" i="38"/>
  <c r="S175" i="38"/>
  <c r="S174" i="38"/>
  <c r="S173" i="38"/>
  <c r="S172" i="38"/>
  <c r="R153" i="38"/>
  <c r="Q153" i="38"/>
  <c r="Q154" i="38" s="1"/>
  <c r="P153" i="38"/>
  <c r="O153" i="38"/>
  <c r="N153" i="38"/>
  <c r="N154" i="38" s="1"/>
  <c r="S152" i="38"/>
  <c r="S151" i="38"/>
  <c r="S150" i="38"/>
  <c r="S149" i="38"/>
  <c r="S148" i="38"/>
  <c r="S147" i="38"/>
  <c r="S146" i="38"/>
  <c r="S145" i="38"/>
  <c r="S144" i="38"/>
  <c r="R142" i="38"/>
  <c r="Q142" i="38"/>
  <c r="P142" i="38"/>
  <c r="O142" i="38"/>
  <c r="N142" i="38"/>
  <c r="R141" i="38"/>
  <c r="R154" i="38"/>
  <c r="Q141" i="38"/>
  <c r="P141" i="38"/>
  <c r="P154" i="38"/>
  <c r="O141" i="38"/>
  <c r="O154" i="38" s="1"/>
  <c r="N141" i="38"/>
  <c r="S140" i="38"/>
  <c r="S139" i="38"/>
  <c r="S138" i="38"/>
  <c r="S137" i="38"/>
  <c r="S136" i="38"/>
  <c r="S135" i="38"/>
  <c r="S134" i="38"/>
  <c r="S133" i="38"/>
  <c r="S132" i="38"/>
  <c r="S131" i="38"/>
  <c r="S130" i="38"/>
  <c r="S129" i="38"/>
  <c r="S128" i="38"/>
  <c r="S127" i="38"/>
  <c r="S126" i="38"/>
  <c r="R123" i="38"/>
  <c r="Q123" i="38"/>
  <c r="P123" i="38"/>
  <c r="O123" i="38"/>
  <c r="N123" i="38"/>
  <c r="S122" i="38"/>
  <c r="S121" i="38"/>
  <c r="S120" i="38"/>
  <c r="S119" i="38"/>
  <c r="S118" i="38"/>
  <c r="S117" i="38"/>
  <c r="S116" i="38"/>
  <c r="S115" i="38"/>
  <c r="S114" i="38"/>
  <c r="S113" i="38"/>
  <c r="S112" i="38"/>
  <c r="S111" i="38"/>
  <c r="S110" i="38"/>
  <c r="S109" i="38"/>
  <c r="S108" i="38"/>
  <c r="S107" i="38"/>
  <c r="S106" i="38"/>
  <c r="S105" i="38"/>
  <c r="S104" i="38"/>
  <c r="S103" i="38"/>
  <c r="S102" i="38"/>
  <c r="S101" i="38"/>
  <c r="S100" i="38"/>
  <c r="S99" i="38"/>
  <c r="S98" i="38"/>
  <c r="S97" i="38"/>
  <c r="S96" i="38"/>
  <c r="S95" i="38"/>
  <c r="S94" i="38"/>
  <c r="S93" i="38"/>
  <c r="S92" i="38"/>
  <c r="S91" i="38"/>
  <c r="S90" i="38"/>
  <c r="S89" i="38"/>
  <c r="R86" i="38"/>
  <c r="Q86" i="38"/>
  <c r="P86" i="38"/>
  <c r="O86" i="38"/>
  <c r="N86" i="38"/>
  <c r="R85" i="38"/>
  <c r="Q85" i="38"/>
  <c r="P85" i="38"/>
  <c r="O85" i="38"/>
  <c r="N85" i="38"/>
  <c r="R84" i="38"/>
  <c r="Q84" i="38"/>
  <c r="P84" i="38"/>
  <c r="O84" i="38"/>
  <c r="N84" i="38"/>
  <c r="S83" i="38"/>
  <c r="S82" i="38"/>
  <c r="S81" i="38"/>
  <c r="S80" i="38"/>
  <c r="S79" i="38"/>
  <c r="S78" i="38"/>
  <c r="S77" i="38"/>
  <c r="S76" i="38"/>
  <c r="R73" i="38"/>
  <c r="Q73" i="38"/>
  <c r="P73" i="38"/>
  <c r="O73" i="38"/>
  <c r="N73" i="38"/>
  <c r="S72" i="38"/>
  <c r="S71" i="38"/>
  <c r="S70" i="38"/>
  <c r="S69" i="38"/>
  <c r="S68" i="38"/>
  <c r="S67" i="38"/>
  <c r="S66" i="38"/>
  <c r="S65" i="38"/>
  <c r="S64" i="38"/>
  <c r="S63" i="38"/>
  <c r="S75" i="38"/>
  <c r="S88" i="38" s="1"/>
  <c r="S125" i="38" s="1"/>
  <c r="S143" i="38" s="1"/>
  <c r="L59" i="38"/>
  <c r="J59" i="38"/>
  <c r="H59" i="38"/>
  <c r="F59" i="38"/>
  <c r="E59" i="38"/>
  <c r="B59" i="38"/>
  <c r="L58" i="38"/>
  <c r="J58" i="38"/>
  <c r="H58" i="38"/>
  <c r="F58" i="38"/>
  <c r="E58" i="38"/>
  <c r="B58" i="38"/>
  <c r="L57" i="38"/>
  <c r="J57" i="38"/>
  <c r="H57" i="38"/>
  <c r="F57" i="38"/>
  <c r="E57" i="38"/>
  <c r="B57" i="38"/>
  <c r="L56" i="38"/>
  <c r="J56" i="38"/>
  <c r="H56" i="38"/>
  <c r="F56" i="38"/>
  <c r="E56" i="38"/>
  <c r="B56" i="38"/>
  <c r="L55" i="38"/>
  <c r="J55" i="38"/>
  <c r="H55" i="38"/>
  <c r="F55" i="38"/>
  <c r="E55" i="38"/>
  <c r="B55" i="38"/>
  <c r="L54" i="38"/>
  <c r="J54" i="38"/>
  <c r="H54" i="38"/>
  <c r="F54" i="38"/>
  <c r="E54" i="38"/>
  <c r="B54" i="38"/>
  <c r="L53" i="38"/>
  <c r="J53" i="38"/>
  <c r="H53" i="38"/>
  <c r="F53" i="38"/>
  <c r="E53" i="38"/>
  <c r="B53" i="38"/>
  <c r="L52" i="38"/>
  <c r="J52" i="38"/>
  <c r="H52" i="38"/>
  <c r="F52" i="38"/>
  <c r="E52" i="38"/>
  <c r="B52" i="38"/>
  <c r="L51" i="38"/>
  <c r="J51" i="38"/>
  <c r="H51" i="38"/>
  <c r="F51" i="38"/>
  <c r="E51" i="38"/>
  <c r="B51" i="38"/>
  <c r="L50" i="38"/>
  <c r="J50" i="38"/>
  <c r="H50" i="38"/>
  <c r="F50" i="38"/>
  <c r="E50" i="38"/>
  <c r="B50" i="38"/>
  <c r="L49" i="38"/>
  <c r="J49" i="38"/>
  <c r="H49" i="38"/>
  <c r="F49" i="38"/>
  <c r="E49" i="38"/>
  <c r="B49" i="38"/>
  <c r="L48" i="38"/>
  <c r="J48" i="38"/>
  <c r="H48" i="38"/>
  <c r="F48" i="38"/>
  <c r="E48" i="38"/>
  <c r="B48" i="38"/>
  <c r="L47" i="38"/>
  <c r="J47" i="38"/>
  <c r="H47" i="38"/>
  <c r="F47" i="38"/>
  <c r="E47" i="38"/>
  <c r="B47" i="38"/>
  <c r="L46" i="38"/>
  <c r="J46" i="38"/>
  <c r="H46" i="38"/>
  <c r="F46" i="38"/>
  <c r="E46" i="38"/>
  <c r="B46" i="38"/>
  <c r="L45" i="38"/>
  <c r="J45" i="38"/>
  <c r="H45" i="38"/>
  <c r="F45" i="38"/>
  <c r="E45" i="38"/>
  <c r="B45" i="38"/>
  <c r="L44" i="38"/>
  <c r="J44" i="38"/>
  <c r="H44" i="38"/>
  <c r="F44" i="38"/>
  <c r="E44" i="38"/>
  <c r="B44" i="38"/>
  <c r="L43" i="38"/>
  <c r="J43" i="38"/>
  <c r="H43" i="38"/>
  <c r="F43" i="38"/>
  <c r="E43" i="38"/>
  <c r="B43" i="38"/>
  <c r="L42" i="38"/>
  <c r="J42" i="38"/>
  <c r="H42" i="38"/>
  <c r="F42" i="38"/>
  <c r="E42" i="38"/>
  <c r="B42" i="38"/>
  <c r="L41" i="38"/>
  <c r="J41" i="38"/>
  <c r="H41" i="38"/>
  <c r="F41" i="38"/>
  <c r="E41" i="38"/>
  <c r="B41" i="38"/>
  <c r="L40" i="38"/>
  <c r="J40" i="38"/>
  <c r="H40" i="38"/>
  <c r="F40" i="38"/>
  <c r="E40" i="38"/>
  <c r="B40" i="38"/>
  <c r="L39" i="38"/>
  <c r="J39" i="38"/>
  <c r="H39" i="38"/>
  <c r="F39" i="38"/>
  <c r="E39" i="38"/>
  <c r="B39" i="38"/>
  <c r="L38" i="38"/>
  <c r="J38" i="38"/>
  <c r="H38" i="38"/>
  <c r="F38" i="38"/>
  <c r="E38" i="38"/>
  <c r="B38" i="38"/>
  <c r="L37" i="38"/>
  <c r="J37" i="38"/>
  <c r="H37" i="38"/>
  <c r="F37" i="38"/>
  <c r="E37" i="38"/>
  <c r="B37" i="38"/>
  <c r="L36" i="38"/>
  <c r="J36" i="38"/>
  <c r="H36" i="38"/>
  <c r="F36" i="38"/>
  <c r="E36" i="38"/>
  <c r="B36" i="38"/>
  <c r="R35" i="38"/>
  <c r="Q35" i="38"/>
  <c r="P35" i="38"/>
  <c r="O35" i="38"/>
  <c r="N35" i="38"/>
  <c r="A351" i="37"/>
  <c r="A350" i="37"/>
  <c r="A349" i="37"/>
  <c r="A348" i="37"/>
  <c r="A347" i="37"/>
  <c r="A346" i="37"/>
  <c r="A344" i="37"/>
  <c r="A343" i="37"/>
  <c r="A342" i="37"/>
  <c r="A341" i="37"/>
  <c r="A340" i="37"/>
  <c r="A338" i="37"/>
  <c r="A336" i="37"/>
  <c r="A334" i="37"/>
  <c r="A333" i="37"/>
  <c r="A332" i="37"/>
  <c r="A331" i="37"/>
  <c r="A330" i="37"/>
  <c r="A328" i="37"/>
  <c r="L241" i="37"/>
  <c r="D241" i="37" s="1"/>
  <c r="D271" i="37" s="1"/>
  <c r="L240" i="37"/>
  <c r="H240" i="37"/>
  <c r="H270" i="37"/>
  <c r="L239" i="37"/>
  <c r="L238" i="37"/>
  <c r="H238" i="37"/>
  <c r="H268" i="37" s="1"/>
  <c r="D238" i="37"/>
  <c r="D268" i="37" s="1"/>
  <c r="L237" i="37"/>
  <c r="D237" i="37"/>
  <c r="D267" i="37" s="1"/>
  <c r="L236" i="37"/>
  <c r="H236" i="37"/>
  <c r="H266" i="37" s="1"/>
  <c r="L235" i="37"/>
  <c r="L234" i="37"/>
  <c r="H234" i="37"/>
  <c r="H264" i="37"/>
  <c r="D234" i="37"/>
  <c r="D264" i="37" s="1"/>
  <c r="L233" i="37"/>
  <c r="D233" i="37" s="1"/>
  <c r="D263" i="37" s="1"/>
  <c r="L232" i="37"/>
  <c r="H232" i="37"/>
  <c r="H262" i="37"/>
  <c r="L231" i="37"/>
  <c r="L230" i="37"/>
  <c r="H230" i="37"/>
  <c r="H260" i="37" s="1"/>
  <c r="D230" i="37"/>
  <c r="D260" i="37" s="1"/>
  <c r="L229" i="37"/>
  <c r="D229" i="37"/>
  <c r="D259" i="37" s="1"/>
  <c r="L228" i="37"/>
  <c r="H228" i="37"/>
  <c r="H258" i="37" s="1"/>
  <c r="L227" i="37"/>
  <c r="L226" i="37"/>
  <c r="H226" i="37"/>
  <c r="H256" i="37"/>
  <c r="D226" i="37"/>
  <c r="D256" i="37" s="1"/>
  <c r="L225" i="37"/>
  <c r="D225" i="37" s="1"/>
  <c r="D255" i="37"/>
  <c r="L224" i="37"/>
  <c r="H224" i="37"/>
  <c r="H254" i="37"/>
  <c r="L223" i="37"/>
  <c r="L222" i="37"/>
  <c r="H222" i="37"/>
  <c r="H252" i="37" s="1"/>
  <c r="D222" i="37"/>
  <c r="D252" i="37" s="1"/>
  <c r="L221" i="37"/>
  <c r="D221" i="37"/>
  <c r="D251" i="37" s="1"/>
  <c r="L220" i="37"/>
  <c r="H220" i="37"/>
  <c r="H250" i="37" s="1"/>
  <c r="L219" i="37"/>
  <c r="L218" i="37"/>
  <c r="H218" i="37"/>
  <c r="H248" i="37"/>
  <c r="D218" i="37"/>
  <c r="D248" i="37" s="1"/>
  <c r="G200" i="37"/>
  <c r="A200" i="37"/>
  <c r="A241" i="37"/>
  <c r="A271" i="37" s="1"/>
  <c r="A298" i="37" s="1"/>
  <c r="A324" i="37" s="1"/>
  <c r="G199" i="37"/>
  <c r="A199" i="37"/>
  <c r="A240" i="37"/>
  <c r="A270" i="37" s="1"/>
  <c r="A297" i="37"/>
  <c r="A323" i="37" s="1"/>
  <c r="G198" i="37"/>
  <c r="A198" i="37"/>
  <c r="A239" i="37" s="1"/>
  <c r="A269" i="37" s="1"/>
  <c r="A296" i="37" s="1"/>
  <c r="A322" i="37" s="1"/>
  <c r="G197" i="37"/>
  <c r="A197" i="37"/>
  <c r="A238" i="37"/>
  <c r="A268" i="37"/>
  <c r="A295" i="37" s="1"/>
  <c r="A321" i="37" s="1"/>
  <c r="G196" i="37"/>
  <c r="A196" i="37"/>
  <c r="A237" i="37"/>
  <c r="A267" i="37" s="1"/>
  <c r="A294" i="37" s="1"/>
  <c r="A320" i="37"/>
  <c r="G195" i="37"/>
  <c r="A195" i="37"/>
  <c r="A236" i="37"/>
  <c r="A266" i="37" s="1"/>
  <c r="A293" i="37" s="1"/>
  <c r="A319" i="37" s="1"/>
  <c r="G194" i="37"/>
  <c r="A194" i="37"/>
  <c r="A235" i="37" s="1"/>
  <c r="A265" i="37" s="1"/>
  <c r="A292" i="37" s="1"/>
  <c r="A318" i="37" s="1"/>
  <c r="G193" i="37"/>
  <c r="A193" i="37"/>
  <c r="A234" i="37"/>
  <c r="A264" i="37"/>
  <c r="A291" i="37" s="1"/>
  <c r="A317" i="37" s="1"/>
  <c r="G192" i="37"/>
  <c r="A192" i="37"/>
  <c r="A233" i="37"/>
  <c r="A263" i="37" s="1"/>
  <c r="A290" i="37" s="1"/>
  <c r="A316" i="37"/>
  <c r="G191" i="37"/>
  <c r="A191" i="37"/>
  <c r="A232" i="37"/>
  <c r="A262" i="37" s="1"/>
  <c r="A289" i="37" s="1"/>
  <c r="A315" i="37" s="1"/>
  <c r="G190" i="37"/>
  <c r="A190" i="37"/>
  <c r="A231" i="37" s="1"/>
  <c r="A261" i="37" s="1"/>
  <c r="A288" i="37" s="1"/>
  <c r="A314" i="37" s="1"/>
  <c r="G189" i="37"/>
  <c r="A189" i="37"/>
  <c r="A230" i="37"/>
  <c r="A260" i="37"/>
  <c r="A287" i="37" s="1"/>
  <c r="A313" i="37" s="1"/>
  <c r="G188" i="37"/>
  <c r="A188" i="37"/>
  <c r="A229" i="37"/>
  <c r="A259" i="37" s="1"/>
  <c r="A286" i="37" s="1"/>
  <c r="A312" i="37" s="1"/>
  <c r="G187" i="37"/>
  <c r="A187" i="37"/>
  <c r="A228" i="37"/>
  <c r="A258" i="37" s="1"/>
  <c r="A285" i="37"/>
  <c r="A311" i="37" s="1"/>
  <c r="G186" i="37"/>
  <c r="A186" i="37"/>
  <c r="A227" i="37" s="1"/>
  <c r="A257" i="37" s="1"/>
  <c r="A284" i="37" s="1"/>
  <c r="A310" i="37" s="1"/>
  <c r="G185" i="37"/>
  <c r="A185" i="37"/>
  <c r="A226" i="37"/>
  <c r="A256" i="37"/>
  <c r="A283" i="37" s="1"/>
  <c r="A309" i="37" s="1"/>
  <c r="G184" i="37"/>
  <c r="A184" i="37"/>
  <c r="A225" i="37"/>
  <c r="A255" i="37" s="1"/>
  <c r="A282" i="37" s="1"/>
  <c r="A308" i="37" s="1"/>
  <c r="G183" i="37"/>
  <c r="A183" i="37"/>
  <c r="A224" i="37"/>
  <c r="A254" i="37" s="1"/>
  <c r="A281" i="37"/>
  <c r="A307" i="37" s="1"/>
  <c r="G182" i="37"/>
  <c r="A182" i="37"/>
  <c r="A223" i="37" s="1"/>
  <c r="A253" i="37" s="1"/>
  <c r="A280" i="37" s="1"/>
  <c r="A306" i="37" s="1"/>
  <c r="G181" i="37"/>
  <c r="A181" i="37"/>
  <c r="A222" i="37"/>
  <c r="A252" i="37"/>
  <c r="A279" i="37" s="1"/>
  <c r="A305" i="37" s="1"/>
  <c r="G180" i="37"/>
  <c r="A180" i="37"/>
  <c r="A221" i="37"/>
  <c r="A251" i="37" s="1"/>
  <c r="A278" i="37" s="1"/>
  <c r="A304" i="37"/>
  <c r="G179" i="37"/>
  <c r="A179" i="37"/>
  <c r="A220" i="37"/>
  <c r="A250" i="37" s="1"/>
  <c r="A277" i="37" s="1"/>
  <c r="A303" i="37" s="1"/>
  <c r="G178" i="37"/>
  <c r="A178" i="37"/>
  <c r="A219" i="37" s="1"/>
  <c r="A249" i="37" s="1"/>
  <c r="A276" i="37" s="1"/>
  <c r="A302" i="37" s="1"/>
  <c r="G177" i="37"/>
  <c r="A177" i="37"/>
  <c r="A218" i="37"/>
  <c r="A248" i="37"/>
  <c r="A275" i="37" s="1"/>
  <c r="A301" i="37" s="1"/>
  <c r="C173" i="37"/>
  <c r="D173" i="37" s="1"/>
  <c r="E173" i="37" s="1"/>
  <c r="B173" i="37"/>
  <c r="A173" i="37"/>
  <c r="C172" i="37"/>
  <c r="D172" i="37" s="1"/>
  <c r="E172" i="37" s="1"/>
  <c r="B172" i="37"/>
  <c r="A172" i="37"/>
  <c r="C171" i="37"/>
  <c r="D171" i="37" s="1"/>
  <c r="E171" i="37" s="1"/>
  <c r="B171" i="37"/>
  <c r="A171" i="37"/>
  <c r="C170" i="37"/>
  <c r="D170" i="37"/>
  <c r="E170" i="37" s="1"/>
  <c r="B170" i="37"/>
  <c r="A170" i="37"/>
  <c r="C169" i="37"/>
  <c r="D169" i="37"/>
  <c r="E169" i="37" s="1"/>
  <c r="B169" i="37"/>
  <c r="A169" i="37"/>
  <c r="C168" i="37"/>
  <c r="D168" i="37"/>
  <c r="E168" i="37" s="1"/>
  <c r="B168" i="37"/>
  <c r="A168" i="37"/>
  <c r="C167" i="37"/>
  <c r="D167" i="37" s="1"/>
  <c r="E167" i="37" s="1"/>
  <c r="B167" i="37"/>
  <c r="A167" i="37"/>
  <c r="C166" i="37"/>
  <c r="D166" i="37"/>
  <c r="E166" i="37"/>
  <c r="B166" i="37"/>
  <c r="A166" i="37"/>
  <c r="C165" i="37"/>
  <c r="D165" i="37" s="1"/>
  <c r="E165" i="37" s="1"/>
  <c r="B165" i="37"/>
  <c r="A165" i="37"/>
  <c r="C164" i="37"/>
  <c r="D164" i="37" s="1"/>
  <c r="E164" i="37" s="1"/>
  <c r="F164" i="37" s="1"/>
  <c r="G164" i="37" s="1"/>
  <c r="H164" i="37"/>
  <c r="I164" i="37" s="1"/>
  <c r="J164" i="37" s="1"/>
  <c r="B164" i="37"/>
  <c r="A164" i="37"/>
  <c r="C163" i="37"/>
  <c r="D163" i="37"/>
  <c r="E163" i="37" s="1"/>
  <c r="B163" i="37"/>
  <c r="A163" i="37"/>
  <c r="C162" i="37"/>
  <c r="D162" i="37"/>
  <c r="E162" i="37" s="1"/>
  <c r="F162" i="37" s="1"/>
  <c r="G162" i="37" s="1"/>
  <c r="H162" i="37" s="1"/>
  <c r="I162" i="37" s="1"/>
  <c r="J162" i="37" s="1"/>
  <c r="B162" i="37"/>
  <c r="A162" i="37"/>
  <c r="B161" i="37"/>
  <c r="G160" i="37"/>
  <c r="F160" i="37"/>
  <c r="E160" i="37"/>
  <c r="D160" i="37"/>
  <c r="C160" i="37"/>
  <c r="B153" i="37"/>
  <c r="D153" i="37"/>
  <c r="A153" i="37"/>
  <c r="B152" i="37"/>
  <c r="A152" i="37"/>
  <c r="B151" i="37"/>
  <c r="A151" i="37"/>
  <c r="B150" i="37"/>
  <c r="F150" i="37"/>
  <c r="A150" i="37"/>
  <c r="B149" i="37"/>
  <c r="A149" i="37"/>
  <c r="B148" i="37"/>
  <c r="A148" i="37"/>
  <c r="B147" i="37"/>
  <c r="A147" i="37"/>
  <c r="B146" i="37"/>
  <c r="A146" i="37"/>
  <c r="B145" i="37"/>
  <c r="D145" i="37"/>
  <c r="A145" i="37"/>
  <c r="B144" i="37"/>
  <c r="A144" i="37"/>
  <c r="B143" i="37"/>
  <c r="D143" i="37" s="1"/>
  <c r="A143" i="37"/>
  <c r="B142" i="37"/>
  <c r="A142" i="37"/>
  <c r="B141" i="37"/>
  <c r="A141" i="37"/>
  <c r="B140" i="37"/>
  <c r="A140" i="37"/>
  <c r="B139" i="37"/>
  <c r="D139" i="37"/>
  <c r="A139" i="37"/>
  <c r="B135" i="37"/>
  <c r="D135" i="37" s="1"/>
  <c r="A135" i="37"/>
  <c r="B134" i="37"/>
  <c r="A134" i="37"/>
  <c r="B133" i="37"/>
  <c r="A133" i="37"/>
  <c r="B132" i="37"/>
  <c r="A132" i="37"/>
  <c r="B131" i="37"/>
  <c r="A131" i="37"/>
  <c r="B130" i="37"/>
  <c r="A130" i="37"/>
  <c r="B129" i="37"/>
  <c r="A129" i="37"/>
  <c r="B128" i="37"/>
  <c r="A128" i="37"/>
  <c r="B127" i="37"/>
  <c r="A127" i="37"/>
  <c r="B126" i="37"/>
  <c r="F126" i="37" s="1"/>
  <c r="A126" i="37"/>
  <c r="B125" i="37"/>
  <c r="D125" i="37" s="1"/>
  <c r="A125" i="37"/>
  <c r="B124" i="37"/>
  <c r="A124" i="37"/>
  <c r="B123" i="37"/>
  <c r="D123" i="37"/>
  <c r="A123" i="37"/>
  <c r="B122" i="37"/>
  <c r="A122" i="37"/>
  <c r="B121" i="37"/>
  <c r="A121" i="37"/>
  <c r="G118" i="37"/>
  <c r="F118" i="37"/>
  <c r="E118" i="37"/>
  <c r="D118" i="37"/>
  <c r="C118" i="37"/>
  <c r="B118" i="37"/>
  <c r="A118" i="37"/>
  <c r="G117" i="37"/>
  <c r="F117" i="37"/>
  <c r="E117" i="37"/>
  <c r="D117" i="37"/>
  <c r="H117" i="37"/>
  <c r="C117" i="37"/>
  <c r="B117" i="37"/>
  <c r="C134" i="37" s="1"/>
  <c r="A117" i="37"/>
  <c r="G116" i="37"/>
  <c r="F116" i="37"/>
  <c r="E116" i="37"/>
  <c r="D116" i="37"/>
  <c r="C116" i="37"/>
  <c r="B116" i="37"/>
  <c r="A116" i="37"/>
  <c r="G115" i="37"/>
  <c r="F115" i="37"/>
  <c r="E115" i="37"/>
  <c r="D115" i="37"/>
  <c r="C115" i="37"/>
  <c r="C132" i="37" s="1"/>
  <c r="B115" i="37"/>
  <c r="A115" i="37"/>
  <c r="G114" i="37"/>
  <c r="F114" i="37"/>
  <c r="F149" i="37" s="1"/>
  <c r="E114" i="37"/>
  <c r="D114" i="37"/>
  <c r="C114" i="37"/>
  <c r="B114" i="37"/>
  <c r="A114" i="37"/>
  <c r="G113" i="37"/>
  <c r="F113" i="37"/>
  <c r="E113" i="37"/>
  <c r="D113" i="37"/>
  <c r="C113" i="37"/>
  <c r="B113" i="37"/>
  <c r="C130" i="37" s="1"/>
  <c r="A113" i="37"/>
  <c r="G112" i="37"/>
  <c r="F112" i="37"/>
  <c r="E112" i="37"/>
  <c r="D112" i="37"/>
  <c r="D129" i="37" s="1"/>
  <c r="C112" i="37"/>
  <c r="B112" i="37"/>
  <c r="A112" i="37"/>
  <c r="G111" i="37"/>
  <c r="F111" i="37"/>
  <c r="F146" i="37" s="1"/>
  <c r="E111" i="37"/>
  <c r="D111" i="37"/>
  <c r="C111" i="37"/>
  <c r="B111" i="37"/>
  <c r="A111" i="37"/>
  <c r="G110" i="37"/>
  <c r="F110" i="37"/>
  <c r="E110" i="37"/>
  <c r="D110" i="37"/>
  <c r="C110" i="37"/>
  <c r="D127" i="37" s="1"/>
  <c r="B110" i="37"/>
  <c r="A110" i="37"/>
  <c r="G109" i="37"/>
  <c r="F109" i="37"/>
  <c r="E109" i="37"/>
  <c r="H109" i="37" s="1"/>
  <c r="D109" i="37"/>
  <c r="C109" i="37"/>
  <c r="B109" i="37"/>
  <c r="C126" i="37"/>
  <c r="A109" i="37"/>
  <c r="G108" i="37"/>
  <c r="F108" i="37"/>
  <c r="E108" i="37"/>
  <c r="D108" i="37"/>
  <c r="C108" i="37"/>
  <c r="B108" i="37"/>
  <c r="A108" i="37"/>
  <c r="G107" i="37"/>
  <c r="F107" i="37"/>
  <c r="F142" i="37" s="1"/>
  <c r="E107" i="37"/>
  <c r="D107" i="37"/>
  <c r="C107" i="37"/>
  <c r="B107" i="37"/>
  <c r="C124" i="37"/>
  <c r="A107" i="37"/>
  <c r="G106" i="37"/>
  <c r="F106" i="37"/>
  <c r="E106" i="37"/>
  <c r="D106" i="37"/>
  <c r="C106" i="37"/>
  <c r="B106" i="37"/>
  <c r="A106" i="37"/>
  <c r="G105" i="37"/>
  <c r="F105" i="37"/>
  <c r="E105" i="37"/>
  <c r="D105" i="37"/>
  <c r="C105" i="37"/>
  <c r="B105" i="37"/>
  <c r="C122" i="37" s="1"/>
  <c r="A105" i="37"/>
  <c r="G104" i="37"/>
  <c r="F104" i="37"/>
  <c r="E104" i="37"/>
  <c r="D104" i="37"/>
  <c r="C104" i="37"/>
  <c r="D121" i="37" s="1"/>
  <c r="B104" i="37"/>
  <c r="A104" i="37"/>
  <c r="K91" i="37"/>
  <c r="J91" i="37"/>
  <c r="I91" i="37"/>
  <c r="H91" i="37"/>
  <c r="G91" i="37"/>
  <c r="F91" i="37"/>
  <c r="E91" i="37"/>
  <c r="D91" i="37"/>
  <c r="C91" i="37"/>
  <c r="B91" i="37"/>
  <c r="B15" i="37"/>
  <c r="B19" i="37" s="1"/>
  <c r="B3" i="37"/>
  <c r="B5" i="37" s="1"/>
  <c r="B2" i="37"/>
  <c r="B4" i="37"/>
  <c r="C1" i="37"/>
  <c r="K40" i="36"/>
  <c r="J40" i="36"/>
  <c r="I40" i="36"/>
  <c r="H40" i="36"/>
  <c r="G40" i="36"/>
  <c r="K39" i="36"/>
  <c r="J39" i="36"/>
  <c r="I39" i="36"/>
  <c r="H39" i="36"/>
  <c r="G39" i="36"/>
  <c r="K38" i="36"/>
  <c r="J38" i="36"/>
  <c r="I38" i="36"/>
  <c r="H38" i="36"/>
  <c r="G38" i="36"/>
  <c r="K37" i="36"/>
  <c r="J37" i="36"/>
  <c r="I37" i="36"/>
  <c r="H37" i="36"/>
  <c r="G37" i="36"/>
  <c r="R33" i="36"/>
  <c r="Q33" i="36"/>
  <c r="P33" i="36"/>
  <c r="O33" i="36"/>
  <c r="N33" i="36"/>
  <c r="K33" i="36"/>
  <c r="J33" i="36"/>
  <c r="I33" i="36"/>
  <c r="H33" i="36"/>
  <c r="G33" i="36"/>
  <c r="R32" i="36"/>
  <c r="Q32" i="36"/>
  <c r="P32" i="36"/>
  <c r="O32" i="36"/>
  <c r="N32" i="36"/>
  <c r="K32" i="36"/>
  <c r="J32" i="36"/>
  <c r="I32" i="36"/>
  <c r="H32" i="36"/>
  <c r="G32" i="36"/>
  <c r="R31" i="36"/>
  <c r="Q31" i="36"/>
  <c r="P31" i="36"/>
  <c r="O31" i="36"/>
  <c r="N31" i="36"/>
  <c r="K31" i="36"/>
  <c r="J31" i="36"/>
  <c r="I31" i="36"/>
  <c r="H31" i="36"/>
  <c r="G31" i="36"/>
  <c r="R30" i="36"/>
  <c r="Q30" i="36"/>
  <c r="P30" i="36"/>
  <c r="O30" i="36"/>
  <c r="N30" i="36"/>
  <c r="K30" i="36"/>
  <c r="J30" i="36"/>
  <c r="I30" i="36"/>
  <c r="H30" i="36"/>
  <c r="G30" i="36"/>
  <c r="S26" i="36"/>
  <c r="B26" i="36"/>
  <c r="A26" i="36"/>
  <c r="S25" i="36"/>
  <c r="B25" i="36"/>
  <c r="A25" i="36"/>
  <c r="S24" i="36"/>
  <c r="B24" i="36"/>
  <c r="A24" i="36"/>
  <c r="S23" i="36"/>
  <c r="B23" i="36"/>
  <c r="A348" i="33" s="1"/>
  <c r="A23" i="36"/>
  <c r="S22" i="36"/>
  <c r="B22" i="36"/>
  <c r="A347" i="33" s="1"/>
  <c r="A22" i="36"/>
  <c r="S21" i="36"/>
  <c r="B21" i="36"/>
  <c r="A346" i="33"/>
  <c r="A21" i="36"/>
  <c r="S20" i="36"/>
  <c r="B20" i="36"/>
  <c r="A20" i="36"/>
  <c r="S19" i="36"/>
  <c r="B19" i="36"/>
  <c r="A19" i="36"/>
  <c r="S18" i="36"/>
  <c r="B18" i="36"/>
  <c r="A343" i="33" s="1"/>
  <c r="A18" i="36"/>
  <c r="S17" i="36"/>
  <c r="B17" i="36"/>
  <c r="A342" i="33" s="1"/>
  <c r="A17" i="36"/>
  <c r="S16" i="36"/>
  <c r="B16" i="36"/>
  <c r="A16" i="36"/>
  <c r="S15" i="36"/>
  <c r="B15" i="36"/>
  <c r="A15" i="36"/>
  <c r="S14" i="36"/>
  <c r="B14" i="36"/>
  <c r="A14" i="36"/>
  <c r="S13" i="36"/>
  <c r="B13" i="36"/>
  <c r="A338" i="33"/>
  <c r="A13" i="36"/>
  <c r="S12" i="36"/>
  <c r="B12" i="36"/>
  <c r="A337" i="33" s="1"/>
  <c r="A12" i="36"/>
  <c r="S11" i="36"/>
  <c r="B11" i="36"/>
  <c r="A11" i="36"/>
  <c r="S10" i="36"/>
  <c r="B10" i="36"/>
  <c r="A10" i="36"/>
  <c r="S9" i="36"/>
  <c r="B9" i="36"/>
  <c r="A9" i="36"/>
  <c r="S8" i="36"/>
  <c r="B8" i="36"/>
  <c r="A8" i="36"/>
  <c r="S7" i="36"/>
  <c r="B7" i="36"/>
  <c r="A7" i="36"/>
  <c r="S6" i="36"/>
  <c r="B6" i="36"/>
  <c r="A6" i="36"/>
  <c r="S5" i="36"/>
  <c r="B5" i="36"/>
  <c r="A330" i="33" s="1"/>
  <c r="A5" i="36"/>
  <c r="S4" i="36"/>
  <c r="B4" i="36"/>
  <c r="A4" i="36"/>
  <c r="S3" i="36"/>
  <c r="B3" i="36"/>
  <c r="A3" i="36"/>
  <c r="A2" i="36"/>
  <c r="A10" i="35"/>
  <c r="C9" i="35"/>
  <c r="C10" i="35" s="1"/>
  <c r="A6" i="35"/>
  <c r="A1" i="35"/>
  <c r="A1" i="36" s="1"/>
  <c r="S209" i="34"/>
  <c r="S204" i="34"/>
  <c r="S203" i="34"/>
  <c r="S202" i="34"/>
  <c r="S201" i="34"/>
  <c r="S200" i="34"/>
  <c r="S199" i="34"/>
  <c r="S198" i="34"/>
  <c r="S197" i="34"/>
  <c r="S196" i="34"/>
  <c r="S195" i="34"/>
  <c r="S194" i="34"/>
  <c r="S193" i="34"/>
  <c r="S192" i="34"/>
  <c r="S191" i="34"/>
  <c r="S190" i="34"/>
  <c r="S189" i="34"/>
  <c r="S188" i="34"/>
  <c r="S187" i="34"/>
  <c r="S185" i="34"/>
  <c r="S184" i="34"/>
  <c r="S183" i="34"/>
  <c r="S182" i="34"/>
  <c r="S181" i="34"/>
  <c r="S180" i="34"/>
  <c r="S179" i="34"/>
  <c r="S178" i="34"/>
  <c r="S176" i="34"/>
  <c r="S175" i="34"/>
  <c r="S174" i="34"/>
  <c r="S173" i="34"/>
  <c r="S172" i="34"/>
  <c r="N154" i="34"/>
  <c r="R153" i="34"/>
  <c r="Q153" i="34"/>
  <c r="P153" i="34"/>
  <c r="O153" i="34"/>
  <c r="N153" i="34"/>
  <c r="S152" i="34"/>
  <c r="S151" i="34"/>
  <c r="S150" i="34"/>
  <c r="S149" i="34"/>
  <c r="S148" i="34"/>
  <c r="S147" i="34"/>
  <c r="S146" i="34"/>
  <c r="S145" i="34"/>
  <c r="S144" i="34"/>
  <c r="R142" i="34"/>
  <c r="Q142" i="34"/>
  <c r="P142" i="34"/>
  <c r="O142" i="34"/>
  <c r="N142" i="34"/>
  <c r="R141" i="34"/>
  <c r="R154" i="34" s="1"/>
  <c r="Q141" i="34"/>
  <c r="P141" i="34"/>
  <c r="O141" i="34"/>
  <c r="O154" i="34" s="1"/>
  <c r="N141" i="34"/>
  <c r="S140" i="34"/>
  <c r="S139" i="34"/>
  <c r="S138" i="34"/>
  <c r="S137" i="34"/>
  <c r="S136" i="34"/>
  <c r="S135" i="34"/>
  <c r="S134" i="34"/>
  <c r="S133" i="34"/>
  <c r="S132" i="34"/>
  <c r="S131" i="34"/>
  <c r="S130" i="34"/>
  <c r="S129" i="34"/>
  <c r="S128" i="34"/>
  <c r="S127" i="34"/>
  <c r="S126" i="34"/>
  <c r="R123" i="34"/>
  <c r="Q123" i="34"/>
  <c r="P123" i="34"/>
  <c r="O123" i="34"/>
  <c r="N123" i="34"/>
  <c r="S122" i="34"/>
  <c r="S121" i="34"/>
  <c r="S120" i="34"/>
  <c r="S119" i="34"/>
  <c r="S118" i="34"/>
  <c r="S117" i="34"/>
  <c r="S116" i="34"/>
  <c r="S115" i="34"/>
  <c r="S114" i="34"/>
  <c r="S113" i="34"/>
  <c r="S112" i="34"/>
  <c r="S111" i="34"/>
  <c r="S110" i="34"/>
  <c r="S109" i="34"/>
  <c r="S108" i="34"/>
  <c r="S107" i="34"/>
  <c r="S106" i="34"/>
  <c r="S105" i="34"/>
  <c r="S104" i="34"/>
  <c r="S103" i="34"/>
  <c r="S102" i="34"/>
  <c r="S101" i="34"/>
  <c r="S100" i="34"/>
  <c r="S99" i="34"/>
  <c r="S98" i="34"/>
  <c r="S97" i="34"/>
  <c r="S96" i="34"/>
  <c r="S95" i="34"/>
  <c r="S94" i="34"/>
  <c r="S93" i="34"/>
  <c r="S92" i="34"/>
  <c r="S91" i="34"/>
  <c r="S90" i="34"/>
  <c r="S89" i="34"/>
  <c r="R86" i="34"/>
  <c r="Q86" i="34"/>
  <c r="P86" i="34"/>
  <c r="O86" i="34"/>
  <c r="N86" i="34"/>
  <c r="R85" i="34"/>
  <c r="Q85" i="34"/>
  <c r="P85" i="34"/>
  <c r="O85" i="34"/>
  <c r="N85" i="34"/>
  <c r="R84" i="34"/>
  <c r="Q84" i="34"/>
  <c r="P84" i="34"/>
  <c r="O84" i="34"/>
  <c r="N84" i="34"/>
  <c r="S83" i="34"/>
  <c r="S82" i="34"/>
  <c r="S81" i="34"/>
  <c r="S80" i="34"/>
  <c r="S79" i="34"/>
  <c r="S78" i="34"/>
  <c r="S77" i="34"/>
  <c r="S76" i="34"/>
  <c r="R73" i="34"/>
  <c r="Q73" i="34"/>
  <c r="P73" i="34"/>
  <c r="O73" i="34"/>
  <c r="N73" i="34"/>
  <c r="S72" i="34"/>
  <c r="S71" i="34"/>
  <c r="S70" i="34"/>
  <c r="S69" i="34"/>
  <c r="S68" i="34"/>
  <c r="S67" i="34"/>
  <c r="S66" i="34"/>
  <c r="S65" i="34"/>
  <c r="S64" i="34"/>
  <c r="S63" i="34"/>
  <c r="S75" i="34"/>
  <c r="S88" i="34" s="1"/>
  <c r="S125" i="34" s="1"/>
  <c r="S143" i="34" s="1"/>
  <c r="L59" i="34"/>
  <c r="J59" i="34"/>
  <c r="H59" i="34"/>
  <c r="F59" i="34"/>
  <c r="E59" i="34"/>
  <c r="B59" i="34"/>
  <c r="L58" i="34"/>
  <c r="J58" i="34"/>
  <c r="H58" i="34"/>
  <c r="F58" i="34"/>
  <c r="E58" i="34"/>
  <c r="B58" i="34"/>
  <c r="L57" i="34"/>
  <c r="J57" i="34"/>
  <c r="H57" i="34"/>
  <c r="F57" i="34"/>
  <c r="E57" i="34"/>
  <c r="B57" i="34"/>
  <c r="L56" i="34"/>
  <c r="J56" i="34"/>
  <c r="H56" i="34"/>
  <c r="F56" i="34"/>
  <c r="E56" i="34"/>
  <c r="B56" i="34"/>
  <c r="L55" i="34"/>
  <c r="J55" i="34"/>
  <c r="H55" i="34"/>
  <c r="F55" i="34"/>
  <c r="E55" i="34"/>
  <c r="B55" i="34"/>
  <c r="L54" i="34"/>
  <c r="J54" i="34"/>
  <c r="H54" i="34"/>
  <c r="F54" i="34"/>
  <c r="E54" i="34"/>
  <c r="B54" i="34"/>
  <c r="L53" i="34"/>
  <c r="J53" i="34"/>
  <c r="H53" i="34"/>
  <c r="F53" i="34"/>
  <c r="E53" i="34"/>
  <c r="B53" i="34"/>
  <c r="L52" i="34"/>
  <c r="J52" i="34"/>
  <c r="H52" i="34"/>
  <c r="F52" i="34"/>
  <c r="E52" i="34"/>
  <c r="B52" i="34"/>
  <c r="L51" i="34"/>
  <c r="J51" i="34"/>
  <c r="H51" i="34"/>
  <c r="F51" i="34"/>
  <c r="E51" i="34"/>
  <c r="B51" i="34"/>
  <c r="L50" i="34"/>
  <c r="J50" i="34"/>
  <c r="H50" i="34"/>
  <c r="F50" i="34"/>
  <c r="E50" i="34"/>
  <c r="B50" i="34"/>
  <c r="L49" i="34"/>
  <c r="J49" i="34"/>
  <c r="H49" i="34"/>
  <c r="F49" i="34"/>
  <c r="E49" i="34"/>
  <c r="B49" i="34"/>
  <c r="L48" i="34"/>
  <c r="J48" i="34"/>
  <c r="H48" i="34"/>
  <c r="F48" i="34"/>
  <c r="E48" i="34"/>
  <c r="B48" i="34"/>
  <c r="L47" i="34"/>
  <c r="J47" i="34"/>
  <c r="H47" i="34"/>
  <c r="F47" i="34"/>
  <c r="E47" i="34"/>
  <c r="B47" i="34"/>
  <c r="L46" i="34"/>
  <c r="J46" i="34"/>
  <c r="H46" i="34"/>
  <c r="F46" i="34"/>
  <c r="E46" i="34"/>
  <c r="B46" i="34"/>
  <c r="L45" i="34"/>
  <c r="J45" i="34"/>
  <c r="H45" i="34"/>
  <c r="F45" i="34"/>
  <c r="E45" i="34"/>
  <c r="B45" i="34"/>
  <c r="L44" i="34"/>
  <c r="J44" i="34"/>
  <c r="H44" i="34"/>
  <c r="F44" i="34"/>
  <c r="E44" i="34"/>
  <c r="B44" i="34"/>
  <c r="L43" i="34"/>
  <c r="J43" i="34"/>
  <c r="H43" i="34"/>
  <c r="F43" i="34"/>
  <c r="E43" i="34"/>
  <c r="B43" i="34"/>
  <c r="L42" i="34"/>
  <c r="J42" i="34"/>
  <c r="H42" i="34"/>
  <c r="F42" i="34"/>
  <c r="E42" i="34"/>
  <c r="B42" i="34"/>
  <c r="L41" i="34"/>
  <c r="J41" i="34"/>
  <c r="H41" i="34"/>
  <c r="F41" i="34"/>
  <c r="E41" i="34"/>
  <c r="B41" i="34"/>
  <c r="L40" i="34"/>
  <c r="J40" i="34"/>
  <c r="H40" i="34"/>
  <c r="F40" i="34"/>
  <c r="E40" i="34"/>
  <c r="B40" i="34"/>
  <c r="L39" i="34"/>
  <c r="J39" i="34"/>
  <c r="H39" i="34"/>
  <c r="F39" i="34"/>
  <c r="E39" i="34"/>
  <c r="B39" i="34"/>
  <c r="L38" i="34"/>
  <c r="J38" i="34"/>
  <c r="H38" i="34"/>
  <c r="F38" i="34"/>
  <c r="E38" i="34"/>
  <c r="B38" i="34"/>
  <c r="L37" i="34"/>
  <c r="J37" i="34"/>
  <c r="H37" i="34"/>
  <c r="F37" i="34"/>
  <c r="E37" i="34"/>
  <c r="B37" i="34"/>
  <c r="L36" i="34"/>
  <c r="J36" i="34"/>
  <c r="H36" i="34"/>
  <c r="F36" i="34"/>
  <c r="E36" i="34"/>
  <c r="B36" i="34"/>
  <c r="R35" i="34"/>
  <c r="Q35" i="34"/>
  <c r="P35" i="34"/>
  <c r="O35" i="34"/>
  <c r="N35" i="34"/>
  <c r="A351" i="33"/>
  <c r="A350" i="33"/>
  <c r="A349" i="33"/>
  <c r="A345" i="33"/>
  <c r="A344" i="33"/>
  <c r="A341" i="33"/>
  <c r="A340" i="33"/>
  <c r="A339" i="33"/>
  <c r="A336" i="33"/>
  <c r="A335" i="33"/>
  <c r="A334" i="33"/>
  <c r="A333" i="33"/>
  <c r="A332" i="33"/>
  <c r="A331" i="33"/>
  <c r="A329" i="33"/>
  <c r="A328" i="33"/>
  <c r="L241" i="33"/>
  <c r="J241" i="33" s="1"/>
  <c r="J271" i="33" s="1"/>
  <c r="L240" i="33"/>
  <c r="L239" i="33"/>
  <c r="J239" i="33"/>
  <c r="J269" i="33" s="1"/>
  <c r="F239" i="33"/>
  <c r="F269" i="33" s="1"/>
  <c r="B239" i="33"/>
  <c r="B269" i="33"/>
  <c r="L238" i="33"/>
  <c r="H238" i="33" s="1"/>
  <c r="H268" i="33" s="1"/>
  <c r="F238" i="33"/>
  <c r="F268" i="33" s="1"/>
  <c r="B238" i="33"/>
  <c r="B268" i="33" s="1"/>
  <c r="L237" i="33"/>
  <c r="J237" i="33"/>
  <c r="J267" i="33" s="1"/>
  <c r="L236" i="33"/>
  <c r="F236" i="33" s="1"/>
  <c r="F266" i="33" s="1"/>
  <c r="A236" i="33"/>
  <c r="A266" i="33" s="1"/>
  <c r="A293" i="33" s="1"/>
  <c r="A319" i="33" s="1"/>
  <c r="L235" i="33"/>
  <c r="J235" i="33"/>
  <c r="J265" i="33"/>
  <c r="H235" i="33"/>
  <c r="H265" i="33"/>
  <c r="D235" i="33"/>
  <c r="D265" i="33" s="1"/>
  <c r="L234" i="33"/>
  <c r="J234" i="33" s="1"/>
  <c r="J264" i="33" s="1"/>
  <c r="L233" i="33"/>
  <c r="J233" i="33" s="1"/>
  <c r="J263" i="33" s="1"/>
  <c r="L232" i="33"/>
  <c r="F232" i="33" s="1"/>
  <c r="F262" i="33" s="1"/>
  <c r="L231" i="33"/>
  <c r="J231" i="33"/>
  <c r="J261" i="33"/>
  <c r="L230" i="33"/>
  <c r="H230" i="33" s="1"/>
  <c r="H260" i="33" s="1"/>
  <c r="J230" i="33"/>
  <c r="J260" i="33" s="1"/>
  <c r="D230" i="33"/>
  <c r="D260" i="33" s="1"/>
  <c r="B230" i="33"/>
  <c r="B260" i="33" s="1"/>
  <c r="L229" i="33"/>
  <c r="J229" i="33"/>
  <c r="J259" i="33" s="1"/>
  <c r="L228" i="33"/>
  <c r="F228" i="33" s="1"/>
  <c r="F258" i="33" s="1"/>
  <c r="L227" i="33"/>
  <c r="J227" i="33"/>
  <c r="J257" i="33"/>
  <c r="H227" i="33"/>
  <c r="H257" i="33"/>
  <c r="D227" i="33"/>
  <c r="D257" i="33" s="1"/>
  <c r="L226" i="33"/>
  <c r="F226" i="33" s="1"/>
  <c r="F256" i="33" s="1"/>
  <c r="H226" i="33"/>
  <c r="H256" i="33" s="1"/>
  <c r="D226" i="33"/>
  <c r="D256" i="33" s="1"/>
  <c r="L225" i="33"/>
  <c r="J225" i="33"/>
  <c r="J255" i="33" s="1"/>
  <c r="L224" i="33"/>
  <c r="L223" i="33"/>
  <c r="J223" i="33" s="1"/>
  <c r="J253" i="33" s="1"/>
  <c r="L222" i="33"/>
  <c r="J222" i="33" s="1"/>
  <c r="J252" i="33" s="1"/>
  <c r="F222" i="33"/>
  <c r="F252" i="33" s="1"/>
  <c r="D222" i="33"/>
  <c r="D252" i="33" s="1"/>
  <c r="L221" i="33"/>
  <c r="J221" i="33"/>
  <c r="J251" i="33" s="1"/>
  <c r="L220" i="33"/>
  <c r="F220" i="33"/>
  <c r="F250" i="33" s="1"/>
  <c r="L219" i="33"/>
  <c r="J219" i="33"/>
  <c r="J249" i="33" s="1"/>
  <c r="L218" i="33"/>
  <c r="B218" i="33"/>
  <c r="B248" i="33" s="1"/>
  <c r="G200" i="33"/>
  <c r="A200" i="33"/>
  <c r="A241" i="33" s="1"/>
  <c r="A271" i="33" s="1"/>
  <c r="A298" i="33" s="1"/>
  <c r="A324" i="33" s="1"/>
  <c r="G199" i="33"/>
  <c r="A199" i="33"/>
  <c r="A240" i="33" s="1"/>
  <c r="A270" i="33" s="1"/>
  <c r="A297" i="33" s="1"/>
  <c r="A323" i="33" s="1"/>
  <c r="G198" i="33"/>
  <c r="A198" i="33"/>
  <c r="A239" i="33" s="1"/>
  <c r="A269" i="33" s="1"/>
  <c r="A296" i="33" s="1"/>
  <c r="A322" i="33" s="1"/>
  <c r="G197" i="33"/>
  <c r="A197" i="33"/>
  <c r="A238" i="33" s="1"/>
  <c r="A268" i="33" s="1"/>
  <c r="A295" i="33" s="1"/>
  <c r="A321" i="33"/>
  <c r="G196" i="33"/>
  <c r="A196" i="33"/>
  <c r="A237" i="33" s="1"/>
  <c r="A267" i="33" s="1"/>
  <c r="A294" i="33" s="1"/>
  <c r="A320" i="33" s="1"/>
  <c r="G195" i="33"/>
  <c r="A195" i="33"/>
  <c r="G194" i="33"/>
  <c r="A194" i="33"/>
  <c r="A235" i="33"/>
  <c r="A265" i="33" s="1"/>
  <c r="A292" i="33" s="1"/>
  <c r="A318" i="33" s="1"/>
  <c r="G193" i="33"/>
  <c r="A193" i="33"/>
  <c r="A234" i="33" s="1"/>
  <c r="A264" i="33" s="1"/>
  <c r="A291" i="33" s="1"/>
  <c r="A317" i="33" s="1"/>
  <c r="G192" i="33"/>
  <c r="A192" i="33"/>
  <c r="A233" i="33" s="1"/>
  <c r="A263" i="33"/>
  <c r="A290" i="33" s="1"/>
  <c r="A316" i="33" s="1"/>
  <c r="G191" i="33"/>
  <c r="A191" i="33"/>
  <c r="A232" i="33" s="1"/>
  <c r="A262" i="33" s="1"/>
  <c r="A289" i="33" s="1"/>
  <c r="A315" i="33" s="1"/>
  <c r="G190" i="33"/>
  <c r="A190" i="33"/>
  <c r="A231" i="33"/>
  <c r="A261" i="33" s="1"/>
  <c r="A288" i="33" s="1"/>
  <c r="A314" i="33" s="1"/>
  <c r="G189" i="33"/>
  <c r="A189" i="33"/>
  <c r="A230" i="33"/>
  <c r="A260" i="33" s="1"/>
  <c r="A287" i="33" s="1"/>
  <c r="A313" i="33" s="1"/>
  <c r="G188" i="33"/>
  <c r="A188" i="33"/>
  <c r="A229" i="33" s="1"/>
  <c r="A259" i="33" s="1"/>
  <c r="A286" i="33" s="1"/>
  <c r="A312" i="33" s="1"/>
  <c r="G187" i="33"/>
  <c r="A187" i="33"/>
  <c r="A228" i="33" s="1"/>
  <c r="A258" i="33" s="1"/>
  <c r="A285" i="33" s="1"/>
  <c r="A311" i="33" s="1"/>
  <c r="G186" i="33"/>
  <c r="A186" i="33"/>
  <c r="A227" i="33" s="1"/>
  <c r="A257" i="33" s="1"/>
  <c r="A284" i="33" s="1"/>
  <c r="A310" i="33" s="1"/>
  <c r="G185" i="33"/>
  <c r="A185" i="33"/>
  <c r="A226" i="33" s="1"/>
  <c r="A256" i="33" s="1"/>
  <c r="A283" i="33" s="1"/>
  <c r="A309" i="33" s="1"/>
  <c r="G184" i="33"/>
  <c r="A184" i="33"/>
  <c r="A225" i="33"/>
  <c r="A255" i="33" s="1"/>
  <c r="A282" i="33" s="1"/>
  <c r="A308" i="33" s="1"/>
  <c r="G183" i="33"/>
  <c r="A183" i="33"/>
  <c r="A224" i="33"/>
  <c r="A254" i="33" s="1"/>
  <c r="A281" i="33" s="1"/>
  <c r="A307" i="33"/>
  <c r="G182" i="33"/>
  <c r="A182" i="33"/>
  <c r="A223" i="33" s="1"/>
  <c r="A253" i="33" s="1"/>
  <c r="A280" i="33" s="1"/>
  <c r="A306" i="33" s="1"/>
  <c r="G181" i="33"/>
  <c r="A181" i="33"/>
  <c r="A222" i="33"/>
  <c r="A252" i="33"/>
  <c r="A279" i="33" s="1"/>
  <c r="A305" i="33" s="1"/>
  <c r="G180" i="33"/>
  <c r="A180" i="33"/>
  <c r="A221" i="33"/>
  <c r="A251" i="33" s="1"/>
  <c r="A278" i="33" s="1"/>
  <c r="A304" i="33" s="1"/>
  <c r="G179" i="33"/>
  <c r="A179" i="33"/>
  <c r="A220" i="33" s="1"/>
  <c r="A250" i="33" s="1"/>
  <c r="A277" i="33" s="1"/>
  <c r="A303" i="33" s="1"/>
  <c r="G178" i="33"/>
  <c r="A178" i="33"/>
  <c r="A219" i="33"/>
  <c r="A249" i="33" s="1"/>
  <c r="A276" i="33" s="1"/>
  <c r="A302" i="33" s="1"/>
  <c r="G177" i="33"/>
  <c r="A177" i="33"/>
  <c r="A218" i="33"/>
  <c r="A248" i="33" s="1"/>
  <c r="A275" i="33"/>
  <c r="A301" i="33" s="1"/>
  <c r="C173" i="33"/>
  <c r="D173" i="33" s="1"/>
  <c r="E173" i="33" s="1"/>
  <c r="B173" i="33"/>
  <c r="A173" i="33"/>
  <c r="C172" i="33"/>
  <c r="D172" i="33"/>
  <c r="E172" i="33"/>
  <c r="B172" i="33"/>
  <c r="A172" i="33"/>
  <c r="C171" i="33"/>
  <c r="D171" i="33" s="1"/>
  <c r="E171" i="33" s="1"/>
  <c r="B171" i="33"/>
  <c r="A171" i="33"/>
  <c r="C170" i="33"/>
  <c r="D170" i="33" s="1"/>
  <c r="E170" i="33" s="1"/>
  <c r="B170" i="33"/>
  <c r="A170" i="33"/>
  <c r="C169" i="33"/>
  <c r="D169" i="33" s="1"/>
  <c r="E169" i="33" s="1"/>
  <c r="B169" i="33"/>
  <c r="A169" i="33"/>
  <c r="C168" i="33"/>
  <c r="D168" i="33" s="1"/>
  <c r="E168" i="33" s="1"/>
  <c r="B168" i="33"/>
  <c r="A168" i="33"/>
  <c r="C167" i="33"/>
  <c r="D167" i="33" s="1"/>
  <c r="E167" i="33" s="1"/>
  <c r="B167" i="33"/>
  <c r="A167" i="33"/>
  <c r="C166" i="33"/>
  <c r="D166" i="33"/>
  <c r="E166" i="33" s="1"/>
  <c r="B166" i="33"/>
  <c r="A166" i="33"/>
  <c r="C165" i="33"/>
  <c r="D165" i="33" s="1"/>
  <c r="E165" i="33" s="1"/>
  <c r="F165" i="33" s="1"/>
  <c r="G165" i="33" s="1"/>
  <c r="H165" i="33" s="1"/>
  <c r="I165" i="33" s="1"/>
  <c r="J165" i="33"/>
  <c r="B165" i="33"/>
  <c r="A165" i="33"/>
  <c r="C164" i="33"/>
  <c r="D164" i="33" s="1"/>
  <c r="E164" i="33" s="1"/>
  <c r="B164" i="33"/>
  <c r="A164" i="33"/>
  <c r="C163" i="33"/>
  <c r="D163" i="33"/>
  <c r="E163" i="33"/>
  <c r="F163" i="33" s="1"/>
  <c r="G163" i="33" s="1"/>
  <c r="H163" i="33" s="1"/>
  <c r="I163" i="33" s="1"/>
  <c r="J163" i="33" s="1"/>
  <c r="B163" i="33"/>
  <c r="A163" i="33"/>
  <c r="C162" i="33"/>
  <c r="D162" i="33" s="1"/>
  <c r="E162" i="33" s="1"/>
  <c r="B162" i="33"/>
  <c r="A162" i="33"/>
  <c r="B161" i="33"/>
  <c r="G160" i="33"/>
  <c r="F160" i="33"/>
  <c r="E160" i="33"/>
  <c r="D160" i="33"/>
  <c r="C160" i="33"/>
  <c r="B153" i="33"/>
  <c r="A153" i="33"/>
  <c r="B152" i="33"/>
  <c r="A152" i="33"/>
  <c r="B151" i="33"/>
  <c r="D151" i="33" s="1"/>
  <c r="A151" i="33"/>
  <c r="B150" i="33"/>
  <c r="A150" i="33"/>
  <c r="B149" i="33"/>
  <c r="A149" i="33"/>
  <c r="B148" i="33"/>
  <c r="E148" i="33" s="1"/>
  <c r="A148" i="33"/>
  <c r="B147" i="33"/>
  <c r="A147" i="33"/>
  <c r="B146" i="33"/>
  <c r="A146" i="33"/>
  <c r="D145" i="33"/>
  <c r="B145" i="33"/>
  <c r="A145" i="33"/>
  <c r="B144" i="33"/>
  <c r="E144" i="33"/>
  <c r="A144" i="33"/>
  <c r="B143" i="33"/>
  <c r="D143" i="33" s="1"/>
  <c r="A143" i="33"/>
  <c r="B142" i="33"/>
  <c r="A142" i="33"/>
  <c r="B141" i="33"/>
  <c r="A141" i="33"/>
  <c r="B140" i="33"/>
  <c r="A140" i="33"/>
  <c r="B139" i="33"/>
  <c r="A139" i="33"/>
  <c r="B135" i="33"/>
  <c r="A135" i="33"/>
  <c r="B134" i="33"/>
  <c r="A134" i="33"/>
  <c r="B133" i="33"/>
  <c r="A133" i="33"/>
  <c r="B132" i="33"/>
  <c r="A132" i="33"/>
  <c r="B131" i="33"/>
  <c r="A131" i="33"/>
  <c r="B130" i="33"/>
  <c r="A130" i="33"/>
  <c r="B129" i="33"/>
  <c r="A129" i="33"/>
  <c r="B128" i="33"/>
  <c r="A128" i="33"/>
  <c r="B127" i="33"/>
  <c r="A127" i="33"/>
  <c r="B126" i="33"/>
  <c r="A126" i="33"/>
  <c r="B125" i="33"/>
  <c r="A125" i="33"/>
  <c r="B124" i="33"/>
  <c r="A124" i="33"/>
  <c r="B123" i="33"/>
  <c r="A123" i="33"/>
  <c r="B122" i="33"/>
  <c r="A122" i="33"/>
  <c r="B121" i="33"/>
  <c r="A121" i="33"/>
  <c r="G118" i="33"/>
  <c r="F118" i="33"/>
  <c r="E118" i="33"/>
  <c r="D118" i="33"/>
  <c r="C118" i="33"/>
  <c r="B118" i="33"/>
  <c r="C135" i="33"/>
  <c r="A118" i="33"/>
  <c r="G117" i="33"/>
  <c r="G152" i="33" s="1"/>
  <c r="F117" i="33"/>
  <c r="E117" i="33"/>
  <c r="E152" i="33"/>
  <c r="D117" i="33"/>
  <c r="D152" i="33" s="1"/>
  <c r="C117" i="33"/>
  <c r="B117" i="33"/>
  <c r="A117" i="33"/>
  <c r="G116" i="33"/>
  <c r="F116" i="33"/>
  <c r="E116" i="33"/>
  <c r="D116" i="33"/>
  <c r="C116" i="33"/>
  <c r="B116" i="33"/>
  <c r="C133" i="33" s="1"/>
  <c r="A116" i="33"/>
  <c r="G115" i="33"/>
  <c r="G150" i="33" s="1"/>
  <c r="F115" i="33"/>
  <c r="E115" i="33"/>
  <c r="E150" i="33" s="1"/>
  <c r="D115" i="33"/>
  <c r="D150" i="33" s="1"/>
  <c r="C115" i="33"/>
  <c r="B115" i="33"/>
  <c r="A115" i="33"/>
  <c r="G114" i="33"/>
  <c r="G149" i="33" s="1"/>
  <c r="F114" i="33"/>
  <c r="E114" i="33"/>
  <c r="E149" i="33"/>
  <c r="D114" i="33"/>
  <c r="D149" i="33"/>
  <c r="C114" i="33"/>
  <c r="B114" i="33"/>
  <c r="A114" i="33"/>
  <c r="G113" i="33"/>
  <c r="F113" i="33"/>
  <c r="E113" i="33"/>
  <c r="D113" i="33"/>
  <c r="D148" i="33" s="1"/>
  <c r="C113" i="33"/>
  <c r="B113" i="33"/>
  <c r="A113" i="33"/>
  <c r="G112" i="33"/>
  <c r="F112" i="33"/>
  <c r="E112" i="33"/>
  <c r="D112" i="33"/>
  <c r="D147" i="33" s="1"/>
  <c r="C112" i="33"/>
  <c r="B112" i="33"/>
  <c r="A112" i="33"/>
  <c r="G111" i="33"/>
  <c r="F111" i="33"/>
  <c r="E111" i="33"/>
  <c r="D111" i="33"/>
  <c r="C111" i="33"/>
  <c r="B111" i="33"/>
  <c r="C128" i="33" s="1"/>
  <c r="A111" i="33"/>
  <c r="G110" i="33"/>
  <c r="G145" i="33"/>
  <c r="F110" i="33"/>
  <c r="E110" i="33"/>
  <c r="E145" i="33" s="1"/>
  <c r="D110" i="33"/>
  <c r="C110" i="33"/>
  <c r="B110" i="33"/>
  <c r="C127" i="33" s="1"/>
  <c r="A110" i="33"/>
  <c r="G109" i="33"/>
  <c r="G144" i="33" s="1"/>
  <c r="F109" i="33"/>
  <c r="E109" i="33"/>
  <c r="D109" i="33"/>
  <c r="D144" i="33" s="1"/>
  <c r="C109" i="33"/>
  <c r="B109" i="33"/>
  <c r="A109" i="33"/>
  <c r="G108" i="33"/>
  <c r="F108" i="33"/>
  <c r="E108" i="33"/>
  <c r="D108" i="33"/>
  <c r="C108" i="33"/>
  <c r="B108" i="33"/>
  <c r="C125" i="33" s="1"/>
  <c r="A108" i="33"/>
  <c r="G107" i="33"/>
  <c r="G142" i="33" s="1"/>
  <c r="F107" i="33"/>
  <c r="E107" i="33"/>
  <c r="E142" i="33" s="1"/>
  <c r="D107" i="33"/>
  <c r="D142" i="33"/>
  <c r="C107" i="33"/>
  <c r="B107" i="33"/>
  <c r="A107" i="33"/>
  <c r="G106" i="33"/>
  <c r="F106" i="33"/>
  <c r="E106" i="33"/>
  <c r="E141" i="33" s="1"/>
  <c r="D106" i="33"/>
  <c r="C106" i="33"/>
  <c r="B106" i="33"/>
  <c r="A106" i="33"/>
  <c r="G105" i="33"/>
  <c r="F105" i="33"/>
  <c r="E105" i="33"/>
  <c r="D105" i="33"/>
  <c r="C105" i="33"/>
  <c r="B105" i="33"/>
  <c r="A105" i="33"/>
  <c r="G104" i="33"/>
  <c r="F104" i="33"/>
  <c r="E104" i="33"/>
  <c r="D104" i="33"/>
  <c r="D139" i="33" s="1"/>
  <c r="C104" i="33"/>
  <c r="B104" i="33"/>
  <c r="C121" i="33"/>
  <c r="A104" i="33"/>
  <c r="K91" i="33"/>
  <c r="J91" i="33"/>
  <c r="I91" i="33"/>
  <c r="H91" i="33"/>
  <c r="G91" i="33"/>
  <c r="F91" i="33"/>
  <c r="E91" i="33"/>
  <c r="D91" i="33"/>
  <c r="C91" i="33"/>
  <c r="B91" i="33"/>
  <c r="B15" i="33"/>
  <c r="B23" i="33" s="1"/>
  <c r="B3" i="33"/>
  <c r="B2" i="33"/>
  <c r="C2" i="33" s="1"/>
  <c r="E206" i="33" s="1"/>
  <c r="C1" i="33"/>
  <c r="A351" i="29"/>
  <c r="A343" i="29"/>
  <c r="A335" i="29"/>
  <c r="A350" i="29"/>
  <c r="A349" i="29"/>
  <c r="A348" i="29"/>
  <c r="A347" i="29"/>
  <c r="A346" i="29"/>
  <c r="A345" i="29"/>
  <c r="A344" i="29"/>
  <c r="A342" i="29"/>
  <c r="A341" i="29"/>
  <c r="A340" i="29"/>
  <c r="A339" i="29"/>
  <c r="A338" i="29"/>
  <c r="A337" i="29"/>
  <c r="A336" i="29"/>
  <c r="A334" i="29"/>
  <c r="A333" i="29"/>
  <c r="A332" i="29"/>
  <c r="A331" i="29"/>
  <c r="A330" i="29"/>
  <c r="A329" i="29"/>
  <c r="A328" i="29"/>
  <c r="A182" i="29"/>
  <c r="A223" i="29" s="1"/>
  <c r="A253" i="29" s="1"/>
  <c r="A280" i="29" s="1"/>
  <c r="A306" i="29" s="1"/>
  <c r="L241" i="29"/>
  <c r="J241" i="29" s="1"/>
  <c r="J271" i="29"/>
  <c r="L240" i="29"/>
  <c r="L239" i="29"/>
  <c r="L238" i="29"/>
  <c r="D238" i="29"/>
  <c r="D268" i="29" s="1"/>
  <c r="L237" i="29"/>
  <c r="L236" i="29"/>
  <c r="B236" i="29" s="1"/>
  <c r="B266" i="29" s="1"/>
  <c r="L235" i="29"/>
  <c r="J235" i="29"/>
  <c r="J265" i="29" s="1"/>
  <c r="L234" i="29"/>
  <c r="H234" i="29"/>
  <c r="H264" i="29" s="1"/>
  <c r="L233" i="29"/>
  <c r="F233" i="29"/>
  <c r="F263" i="29" s="1"/>
  <c r="L232" i="29"/>
  <c r="H232" i="29"/>
  <c r="H262" i="29" s="1"/>
  <c r="L231" i="29"/>
  <c r="L230" i="29"/>
  <c r="H230" i="29" s="1"/>
  <c r="H260" i="29" s="1"/>
  <c r="F230" i="29"/>
  <c r="F260" i="29" s="1"/>
  <c r="D230" i="29"/>
  <c r="D260" i="29" s="1"/>
  <c r="L229" i="29"/>
  <c r="L228" i="29"/>
  <c r="H228" i="29"/>
  <c r="H258" i="29" s="1"/>
  <c r="F228" i="29"/>
  <c r="F258" i="29" s="1"/>
  <c r="L227" i="29"/>
  <c r="H227" i="29" s="1"/>
  <c r="H257" i="29" s="1"/>
  <c r="L226" i="29"/>
  <c r="H226" i="29"/>
  <c r="H256" i="29" s="1"/>
  <c r="L225" i="29"/>
  <c r="F225" i="29" s="1"/>
  <c r="F255" i="29" s="1"/>
  <c r="L224" i="29"/>
  <c r="H224" i="29"/>
  <c r="H254" i="29" s="1"/>
  <c r="L223" i="29"/>
  <c r="L222" i="29"/>
  <c r="H222" i="29" s="1"/>
  <c r="H252" i="29" s="1"/>
  <c r="L221" i="29"/>
  <c r="J221" i="29"/>
  <c r="J251" i="29"/>
  <c r="L220" i="29"/>
  <c r="B220" i="29" s="1"/>
  <c r="B250" i="29" s="1"/>
  <c r="H220" i="29"/>
  <c r="H250" i="29" s="1"/>
  <c r="L219" i="29"/>
  <c r="H219" i="29"/>
  <c r="H249" i="29"/>
  <c r="J219" i="29"/>
  <c r="J249" i="29"/>
  <c r="F219" i="29"/>
  <c r="F249" i="29" s="1"/>
  <c r="B219" i="29"/>
  <c r="B249" i="29" s="1"/>
  <c r="L218" i="29"/>
  <c r="H218" i="29"/>
  <c r="H248" i="29" s="1"/>
  <c r="B218" i="29"/>
  <c r="B248" i="29" s="1"/>
  <c r="G200" i="29"/>
  <c r="A200" i="29"/>
  <c r="A241" i="29" s="1"/>
  <c r="A271" i="29" s="1"/>
  <c r="A298" i="29"/>
  <c r="A324" i="29" s="1"/>
  <c r="G199" i="29"/>
  <c r="A199" i="29"/>
  <c r="A240" i="29" s="1"/>
  <c r="A270" i="29" s="1"/>
  <c r="A297" i="29" s="1"/>
  <c r="A323" i="29" s="1"/>
  <c r="G198" i="29"/>
  <c r="A198" i="29"/>
  <c r="A239" i="29"/>
  <c r="A269" i="29" s="1"/>
  <c r="A296" i="29" s="1"/>
  <c r="A322" i="29" s="1"/>
  <c r="G197" i="29"/>
  <c r="A197" i="29"/>
  <c r="A238" i="29"/>
  <c r="A268" i="29" s="1"/>
  <c r="A295" i="29" s="1"/>
  <c r="A321" i="29" s="1"/>
  <c r="G196" i="29"/>
  <c r="A196" i="29"/>
  <c r="A237" i="29" s="1"/>
  <c r="A267" i="29" s="1"/>
  <c r="A294" i="29" s="1"/>
  <c r="A320" i="29" s="1"/>
  <c r="G195" i="29"/>
  <c r="A195" i="29"/>
  <c r="A236" i="29" s="1"/>
  <c r="A266" i="29" s="1"/>
  <c r="A293" i="29" s="1"/>
  <c r="A319" i="29" s="1"/>
  <c r="G194" i="29"/>
  <c r="A194" i="29"/>
  <c r="A235" i="29"/>
  <c r="A265" i="29" s="1"/>
  <c r="A292" i="29" s="1"/>
  <c r="A318" i="29" s="1"/>
  <c r="G193" i="29"/>
  <c r="A193" i="29"/>
  <c r="A234" i="29"/>
  <c r="A264" i="29" s="1"/>
  <c r="A291" i="29"/>
  <c r="A317" i="29" s="1"/>
  <c r="G192" i="29"/>
  <c r="A192" i="29"/>
  <c r="A233" i="29"/>
  <c r="A263" i="29" s="1"/>
  <c r="A290" i="29" s="1"/>
  <c r="A316" i="29" s="1"/>
  <c r="G191" i="29"/>
  <c r="A191" i="29"/>
  <c r="A232" i="29" s="1"/>
  <c r="A262" i="29" s="1"/>
  <c r="A289" i="29" s="1"/>
  <c r="A315" i="29" s="1"/>
  <c r="G190" i="29"/>
  <c r="A190" i="29"/>
  <c r="A231" i="29"/>
  <c r="A261" i="29" s="1"/>
  <c r="A288" i="29" s="1"/>
  <c r="A314" i="29" s="1"/>
  <c r="G189" i="29"/>
  <c r="A189" i="29"/>
  <c r="A230" i="29"/>
  <c r="A260" i="29" s="1"/>
  <c r="A287" i="29" s="1"/>
  <c r="A313" i="29" s="1"/>
  <c r="G188" i="29"/>
  <c r="A188" i="29"/>
  <c r="A229" i="29"/>
  <c r="A259" i="29"/>
  <c r="A286" i="29"/>
  <c r="A312" i="29" s="1"/>
  <c r="G187" i="29"/>
  <c r="A187" i="29"/>
  <c r="A228" i="29" s="1"/>
  <c r="A258" i="29" s="1"/>
  <c r="A285" i="29" s="1"/>
  <c r="A311" i="29" s="1"/>
  <c r="G186" i="29"/>
  <c r="A186" i="29"/>
  <c r="A227" i="29"/>
  <c r="A257" i="29" s="1"/>
  <c r="A284" i="29" s="1"/>
  <c r="A310" i="29" s="1"/>
  <c r="G185" i="29"/>
  <c r="A185" i="29"/>
  <c r="A226" i="29"/>
  <c r="A256" i="29" s="1"/>
  <c r="A283" i="29"/>
  <c r="A309" i="29" s="1"/>
  <c r="G184" i="29"/>
  <c r="A184" i="29"/>
  <c r="A225" i="29"/>
  <c r="A255" i="29" s="1"/>
  <c r="A282" i="29" s="1"/>
  <c r="A308" i="29" s="1"/>
  <c r="G183" i="29"/>
  <c r="A183" i="29"/>
  <c r="A224" i="29" s="1"/>
  <c r="A254" i="29" s="1"/>
  <c r="A281" i="29" s="1"/>
  <c r="A307" i="29" s="1"/>
  <c r="G182" i="29"/>
  <c r="G181" i="29"/>
  <c r="A181" i="29"/>
  <c r="A222" i="29" s="1"/>
  <c r="A252" i="29" s="1"/>
  <c r="A279" i="29" s="1"/>
  <c r="A305" i="29" s="1"/>
  <c r="G180" i="29"/>
  <c r="A180" i="29"/>
  <c r="A221" i="29" s="1"/>
  <c r="A251" i="29" s="1"/>
  <c r="A278" i="29" s="1"/>
  <c r="A304" i="29" s="1"/>
  <c r="G179" i="29"/>
  <c r="A179" i="29"/>
  <c r="A220" i="29"/>
  <c r="A250" i="29"/>
  <c r="A277" i="29" s="1"/>
  <c r="A303" i="29"/>
  <c r="G178" i="29"/>
  <c r="A178" i="29"/>
  <c r="A219" i="29" s="1"/>
  <c r="A249" i="29" s="1"/>
  <c r="A276" i="29" s="1"/>
  <c r="A302" i="29" s="1"/>
  <c r="G177" i="29"/>
  <c r="A177" i="29"/>
  <c r="A218" i="29" s="1"/>
  <c r="A248" i="29" s="1"/>
  <c r="A275" i="29" s="1"/>
  <c r="A301" i="29" s="1"/>
  <c r="C173" i="29"/>
  <c r="D173" i="29"/>
  <c r="B173" i="29"/>
  <c r="A173" i="29"/>
  <c r="C172" i="29"/>
  <c r="D172" i="29"/>
  <c r="B172" i="29"/>
  <c r="A172" i="29"/>
  <c r="C171" i="29"/>
  <c r="D171" i="29"/>
  <c r="B171" i="29"/>
  <c r="A171" i="29"/>
  <c r="C170" i="29"/>
  <c r="D170" i="29"/>
  <c r="B170" i="29"/>
  <c r="A170" i="29"/>
  <c r="C169" i="29"/>
  <c r="D169" i="29"/>
  <c r="B169" i="29"/>
  <c r="A169" i="29"/>
  <c r="C168" i="29"/>
  <c r="D168" i="29"/>
  <c r="B168" i="29"/>
  <c r="A168" i="29"/>
  <c r="C167" i="29"/>
  <c r="D167" i="29"/>
  <c r="B167" i="29"/>
  <c r="A167" i="29"/>
  <c r="C166" i="29"/>
  <c r="D166" i="29"/>
  <c r="B166" i="29"/>
  <c r="A166" i="29"/>
  <c r="C165" i="29"/>
  <c r="D165" i="29"/>
  <c r="B165" i="29"/>
  <c r="A165" i="29"/>
  <c r="C164" i="29"/>
  <c r="D164" i="29"/>
  <c r="B164" i="29"/>
  <c r="A164" i="29"/>
  <c r="C163" i="29"/>
  <c r="D163" i="29"/>
  <c r="B163" i="29"/>
  <c r="A163" i="29"/>
  <c r="C162" i="29"/>
  <c r="D162" i="29"/>
  <c r="B162" i="29"/>
  <c r="A162" i="29"/>
  <c r="B161" i="29"/>
  <c r="G160" i="29"/>
  <c r="F160" i="29"/>
  <c r="E160" i="29"/>
  <c r="D160" i="29"/>
  <c r="C160" i="29"/>
  <c r="B153" i="29"/>
  <c r="F153" i="29"/>
  <c r="A153" i="29"/>
  <c r="B152" i="29"/>
  <c r="A152" i="29"/>
  <c r="B151" i="29"/>
  <c r="A151" i="29"/>
  <c r="B150" i="29"/>
  <c r="F150" i="29" s="1"/>
  <c r="A150" i="29"/>
  <c r="B149" i="29"/>
  <c r="A149" i="29"/>
  <c r="B148" i="29"/>
  <c r="F148" i="29" s="1"/>
  <c r="A148" i="29"/>
  <c r="B147" i="29"/>
  <c r="A147" i="29"/>
  <c r="B146" i="29"/>
  <c r="A146" i="29"/>
  <c r="B145" i="29"/>
  <c r="F145" i="29"/>
  <c r="A145" i="29"/>
  <c r="B144" i="29"/>
  <c r="A144" i="29"/>
  <c r="B143" i="29"/>
  <c r="A143" i="29"/>
  <c r="B142" i="29"/>
  <c r="A142" i="29"/>
  <c r="B141" i="29"/>
  <c r="F141" i="29" s="1"/>
  <c r="A141" i="29"/>
  <c r="B140" i="29"/>
  <c r="F140" i="29" s="1"/>
  <c r="A140" i="29"/>
  <c r="B139" i="29"/>
  <c r="A139" i="29"/>
  <c r="B135" i="29"/>
  <c r="A135" i="29"/>
  <c r="B134" i="29"/>
  <c r="A134" i="29"/>
  <c r="B133" i="29"/>
  <c r="A133" i="29"/>
  <c r="B132" i="29"/>
  <c r="A132" i="29"/>
  <c r="B131" i="29"/>
  <c r="A131" i="29"/>
  <c r="B130" i="29"/>
  <c r="A130" i="29"/>
  <c r="B129" i="29"/>
  <c r="F129" i="29" s="1"/>
  <c r="A129" i="29"/>
  <c r="B128" i="29"/>
  <c r="A128" i="29"/>
  <c r="B127" i="29"/>
  <c r="A127" i="29"/>
  <c r="B126" i="29"/>
  <c r="A126" i="29"/>
  <c r="B125" i="29"/>
  <c r="A125" i="29"/>
  <c r="B124" i="29"/>
  <c r="A124" i="29"/>
  <c r="B123" i="29"/>
  <c r="A123" i="29"/>
  <c r="B122" i="29"/>
  <c r="A122" i="29"/>
  <c r="B121" i="29"/>
  <c r="F121" i="29" s="1"/>
  <c r="A121" i="29"/>
  <c r="G118" i="29"/>
  <c r="F118" i="29"/>
  <c r="E118" i="29"/>
  <c r="D118" i="29"/>
  <c r="C118" i="29"/>
  <c r="H118" i="29" s="1"/>
  <c r="B118" i="29"/>
  <c r="C135" i="29" s="1"/>
  <c r="A118" i="29"/>
  <c r="G117" i="29"/>
  <c r="F117" i="29"/>
  <c r="E117" i="29"/>
  <c r="D117" i="29"/>
  <c r="C117" i="29"/>
  <c r="B117" i="29"/>
  <c r="A117" i="29"/>
  <c r="G116" i="29"/>
  <c r="F116" i="29"/>
  <c r="E116" i="29"/>
  <c r="D116" i="29"/>
  <c r="C116" i="29"/>
  <c r="B116" i="29"/>
  <c r="C133" i="29"/>
  <c r="A116" i="29"/>
  <c r="G115" i="29"/>
  <c r="F115" i="29"/>
  <c r="E115" i="29"/>
  <c r="D115" i="29"/>
  <c r="C115" i="29"/>
  <c r="B115" i="29"/>
  <c r="A115" i="29"/>
  <c r="G114" i="29"/>
  <c r="F114" i="29"/>
  <c r="F149" i="29"/>
  <c r="E114" i="29"/>
  <c r="D114" i="29"/>
  <c r="C114" i="29"/>
  <c r="B114" i="29"/>
  <c r="C131" i="29"/>
  <c r="A114" i="29"/>
  <c r="G113" i="29"/>
  <c r="F113" i="29"/>
  <c r="E113" i="29"/>
  <c r="D113" i="29"/>
  <c r="D148" i="29"/>
  <c r="C113" i="29"/>
  <c r="B113" i="29"/>
  <c r="A113" i="29"/>
  <c r="G112" i="29"/>
  <c r="F112" i="29"/>
  <c r="E112" i="29"/>
  <c r="D112" i="29"/>
  <c r="C112" i="29"/>
  <c r="B112" i="29"/>
  <c r="C129" i="29" s="1"/>
  <c r="A112" i="29"/>
  <c r="G111" i="29"/>
  <c r="F111" i="29"/>
  <c r="E111" i="29"/>
  <c r="D111" i="29"/>
  <c r="C111" i="29"/>
  <c r="B111" i="29"/>
  <c r="A111" i="29"/>
  <c r="G110" i="29"/>
  <c r="F110" i="29"/>
  <c r="E110" i="29"/>
  <c r="D110" i="29"/>
  <c r="C110" i="29"/>
  <c r="H110" i="29"/>
  <c r="B110" i="29"/>
  <c r="C127" i="29" s="1"/>
  <c r="A110" i="29"/>
  <c r="G109" i="29"/>
  <c r="F109" i="29"/>
  <c r="E109" i="29"/>
  <c r="D109" i="29"/>
  <c r="C109" i="29"/>
  <c r="B109" i="29"/>
  <c r="A109" i="29"/>
  <c r="G108" i="29"/>
  <c r="F108" i="29"/>
  <c r="E108" i="29"/>
  <c r="D108" i="29"/>
  <c r="C108" i="29"/>
  <c r="B108" i="29"/>
  <c r="C125" i="29" s="1"/>
  <c r="A108" i="29"/>
  <c r="G107" i="29"/>
  <c r="F107" i="29"/>
  <c r="E107" i="29"/>
  <c r="D107" i="29"/>
  <c r="C107" i="29"/>
  <c r="B107" i="29"/>
  <c r="A107" i="29"/>
  <c r="G106" i="29"/>
  <c r="F106" i="29"/>
  <c r="E106" i="29"/>
  <c r="D106" i="29"/>
  <c r="C106" i="29"/>
  <c r="B106" i="29"/>
  <c r="C123" i="29" s="1"/>
  <c r="A106" i="29"/>
  <c r="G105" i="29"/>
  <c r="F105" i="29"/>
  <c r="E105" i="29"/>
  <c r="D105" i="29"/>
  <c r="C105" i="29"/>
  <c r="B105" i="29"/>
  <c r="A105" i="29"/>
  <c r="G104" i="29"/>
  <c r="F104" i="29"/>
  <c r="E104" i="29"/>
  <c r="D104" i="29"/>
  <c r="C104" i="29"/>
  <c r="B104" i="29"/>
  <c r="C121" i="29" s="1"/>
  <c r="A104" i="29"/>
  <c r="K91" i="29"/>
  <c r="J91" i="29"/>
  <c r="I91" i="29"/>
  <c r="H91" i="29"/>
  <c r="G91" i="29"/>
  <c r="F91" i="29"/>
  <c r="E91" i="29"/>
  <c r="D91" i="29"/>
  <c r="C91" i="29"/>
  <c r="B91" i="29"/>
  <c r="B15" i="29"/>
  <c r="B16" i="29" s="1"/>
  <c r="B3" i="29"/>
  <c r="B2" i="29"/>
  <c r="C1" i="29"/>
  <c r="A348" i="25"/>
  <c r="A342" i="25"/>
  <c r="A340" i="25"/>
  <c r="A334" i="25"/>
  <c r="A332" i="25"/>
  <c r="A351" i="25"/>
  <c r="A350" i="25"/>
  <c r="A349" i="25"/>
  <c r="A347" i="25"/>
  <c r="A346" i="25"/>
  <c r="A345" i="25"/>
  <c r="A344" i="25"/>
  <c r="A343" i="25"/>
  <c r="A341" i="25"/>
  <c r="A339" i="25"/>
  <c r="A338" i="25"/>
  <c r="A337" i="25"/>
  <c r="A336" i="25"/>
  <c r="A335" i="25"/>
  <c r="A333" i="25"/>
  <c r="A331" i="25"/>
  <c r="A330" i="25"/>
  <c r="A329" i="25"/>
  <c r="A328" i="25"/>
  <c r="L241" i="25"/>
  <c r="D241" i="25"/>
  <c r="D271" i="25"/>
  <c r="H241" i="25"/>
  <c r="H271" i="25"/>
  <c r="L240" i="25"/>
  <c r="H240" i="25" s="1"/>
  <c r="H270" i="25" s="1"/>
  <c r="L239" i="25"/>
  <c r="L238" i="25"/>
  <c r="H238" i="25"/>
  <c r="H268" i="25" s="1"/>
  <c r="D238" i="25"/>
  <c r="D268" i="25" s="1"/>
  <c r="L237" i="25"/>
  <c r="D237" i="25" s="1"/>
  <c r="D267" i="25" s="1"/>
  <c r="L236" i="25"/>
  <c r="L235" i="25"/>
  <c r="H235" i="25" s="1"/>
  <c r="H265" i="25" s="1"/>
  <c r="L234" i="25"/>
  <c r="H234" i="25" s="1"/>
  <c r="H264" i="25" s="1"/>
  <c r="D234" i="25"/>
  <c r="D264" i="25" s="1"/>
  <c r="L233" i="25"/>
  <c r="L232" i="25"/>
  <c r="H232" i="25"/>
  <c r="H262" i="25" s="1"/>
  <c r="L231" i="25"/>
  <c r="L230" i="25"/>
  <c r="H230" i="25"/>
  <c r="H260" i="25" s="1"/>
  <c r="D230" i="25"/>
  <c r="D260" i="25" s="1"/>
  <c r="L229" i="25"/>
  <c r="L228" i="25"/>
  <c r="H228" i="25" s="1"/>
  <c r="H258" i="25" s="1"/>
  <c r="L227" i="25"/>
  <c r="D227" i="25" s="1"/>
  <c r="D257" i="25" s="1"/>
  <c r="L226" i="25"/>
  <c r="H226" i="25" s="1"/>
  <c r="H256" i="25" s="1"/>
  <c r="L225" i="25"/>
  <c r="H225" i="25" s="1"/>
  <c r="H255" i="25" s="1"/>
  <c r="L224" i="25"/>
  <c r="L223" i="25"/>
  <c r="D223" i="25" s="1"/>
  <c r="D253" i="25" s="1"/>
  <c r="L222" i="25"/>
  <c r="H222" i="25"/>
  <c r="H252" i="25" s="1"/>
  <c r="L221" i="25"/>
  <c r="L220" i="25"/>
  <c r="H220" i="25"/>
  <c r="H250" i="25" s="1"/>
  <c r="D220" i="25"/>
  <c r="D250" i="25" s="1"/>
  <c r="L219" i="25"/>
  <c r="L218" i="25"/>
  <c r="D218" i="25"/>
  <c r="D248" i="25" s="1"/>
  <c r="G200" i="25"/>
  <c r="A200" i="25"/>
  <c r="A241" i="25" s="1"/>
  <c r="A271" i="25" s="1"/>
  <c r="A298" i="25" s="1"/>
  <c r="A324" i="25" s="1"/>
  <c r="G199" i="25"/>
  <c r="A199" i="25"/>
  <c r="A240" i="25"/>
  <c r="A270" i="25" s="1"/>
  <c r="A297" i="25" s="1"/>
  <c r="A323" i="25" s="1"/>
  <c r="G198" i="25"/>
  <c r="A198" i="25"/>
  <c r="A239" i="25"/>
  <c r="A269" i="25" s="1"/>
  <c r="A296" i="25" s="1"/>
  <c r="A322" i="25" s="1"/>
  <c r="G197" i="25"/>
  <c r="A197" i="25"/>
  <c r="A238" i="25"/>
  <c r="A268" i="25" s="1"/>
  <c r="A295" i="25"/>
  <c r="A321" i="25" s="1"/>
  <c r="G196" i="25"/>
  <c r="A196" i="25"/>
  <c r="A237" i="25" s="1"/>
  <c r="A267" i="25" s="1"/>
  <c r="A294" i="25" s="1"/>
  <c r="A320" i="25" s="1"/>
  <c r="G195" i="25"/>
  <c r="A195" i="25"/>
  <c r="A236" i="25"/>
  <c r="A266" i="25" s="1"/>
  <c r="A293" i="25" s="1"/>
  <c r="A319" i="25" s="1"/>
  <c r="G194" i="25"/>
  <c r="A194" i="25"/>
  <c r="A235" i="25"/>
  <c r="A265" i="25" s="1"/>
  <c r="A292" i="25" s="1"/>
  <c r="A318" i="25" s="1"/>
  <c r="G193" i="25"/>
  <c r="A193" i="25"/>
  <c r="A234" i="25" s="1"/>
  <c r="A264" i="25" s="1"/>
  <c r="A291" i="25" s="1"/>
  <c r="A317" i="25" s="1"/>
  <c r="G192" i="25"/>
  <c r="A192" i="25"/>
  <c r="A233" i="25" s="1"/>
  <c r="A263" i="25" s="1"/>
  <c r="A290" i="25" s="1"/>
  <c r="A316" i="25" s="1"/>
  <c r="G191" i="25"/>
  <c r="A191" i="25"/>
  <c r="A232" i="25"/>
  <c r="A262" i="25" s="1"/>
  <c r="A289" i="25" s="1"/>
  <c r="A315" i="25" s="1"/>
  <c r="G190" i="25"/>
  <c r="A190" i="25"/>
  <c r="A231" i="25"/>
  <c r="A261" i="25" s="1"/>
  <c r="A288" i="25"/>
  <c r="A314" i="25" s="1"/>
  <c r="G189" i="25"/>
  <c r="A189" i="25"/>
  <c r="A230" i="25"/>
  <c r="A260" i="25" s="1"/>
  <c r="A287" i="25"/>
  <c r="A313" i="25" s="1"/>
  <c r="G188" i="25"/>
  <c r="A188" i="25"/>
  <c r="A229" i="25" s="1"/>
  <c r="A259" i="25" s="1"/>
  <c r="A286" i="25" s="1"/>
  <c r="A312" i="25" s="1"/>
  <c r="G187" i="25"/>
  <c r="A187" i="25"/>
  <c r="A228" i="25"/>
  <c r="A258" i="25" s="1"/>
  <c r="A285" i="25" s="1"/>
  <c r="A311" i="25" s="1"/>
  <c r="G186" i="25"/>
  <c r="A186" i="25"/>
  <c r="A227" i="25"/>
  <c r="A257" i="25" s="1"/>
  <c r="A284" i="25" s="1"/>
  <c r="A310" i="25" s="1"/>
  <c r="G185" i="25"/>
  <c r="A185" i="25"/>
  <c r="A226" i="25" s="1"/>
  <c r="A256" i="25" s="1"/>
  <c r="A283" i="25"/>
  <c r="A309" i="25" s="1"/>
  <c r="G184" i="25"/>
  <c r="A184" i="25"/>
  <c r="A225" i="25" s="1"/>
  <c r="A255" i="25" s="1"/>
  <c r="A282" i="25" s="1"/>
  <c r="A308" i="25" s="1"/>
  <c r="G183" i="25"/>
  <c r="A183" i="25"/>
  <c r="A224" i="25"/>
  <c r="A254" i="25" s="1"/>
  <c r="A281" i="25" s="1"/>
  <c r="A307" i="25" s="1"/>
  <c r="G182" i="25"/>
  <c r="A182" i="25"/>
  <c r="A223" i="25"/>
  <c r="A253" i="25" s="1"/>
  <c r="A280" i="25" s="1"/>
  <c r="A306" i="25" s="1"/>
  <c r="G181" i="25"/>
  <c r="A181" i="25"/>
  <c r="A222" i="25"/>
  <c r="A252" i="25" s="1"/>
  <c r="A279" i="25" s="1"/>
  <c r="A305" i="25" s="1"/>
  <c r="G180" i="25"/>
  <c r="A180" i="25"/>
  <c r="A221" i="25" s="1"/>
  <c r="A251" i="25" s="1"/>
  <c r="A278" i="25" s="1"/>
  <c r="A304" i="25" s="1"/>
  <c r="G179" i="25"/>
  <c r="A179" i="25"/>
  <c r="A220" i="25"/>
  <c r="A250" i="25" s="1"/>
  <c r="A277" i="25" s="1"/>
  <c r="A303" i="25" s="1"/>
  <c r="G178" i="25"/>
  <c r="A178" i="25"/>
  <c r="A219" i="25"/>
  <c r="A249" i="25" s="1"/>
  <c r="A276" i="25"/>
  <c r="A302" i="25" s="1"/>
  <c r="G177" i="25"/>
  <c r="A177" i="25"/>
  <c r="A218" i="25" s="1"/>
  <c r="A248" i="25" s="1"/>
  <c r="A275" i="25" s="1"/>
  <c r="A301" i="25" s="1"/>
  <c r="C173" i="25"/>
  <c r="D173" i="25"/>
  <c r="B173" i="25"/>
  <c r="A173" i="25"/>
  <c r="C172" i="25"/>
  <c r="D172" i="25"/>
  <c r="B172" i="25"/>
  <c r="A172" i="25"/>
  <c r="C171" i="25"/>
  <c r="D171" i="25"/>
  <c r="B171" i="25"/>
  <c r="A171" i="25"/>
  <c r="C170" i="25"/>
  <c r="D170" i="25"/>
  <c r="B170" i="25"/>
  <c r="A170" i="25"/>
  <c r="C169" i="25"/>
  <c r="D169" i="25"/>
  <c r="B169" i="25"/>
  <c r="A169" i="25"/>
  <c r="C168" i="25"/>
  <c r="D168" i="25"/>
  <c r="B168" i="25"/>
  <c r="A168" i="25"/>
  <c r="C167" i="25"/>
  <c r="D167" i="25"/>
  <c r="B167" i="25"/>
  <c r="A167" i="25"/>
  <c r="C166" i="25"/>
  <c r="D166" i="25"/>
  <c r="B166" i="25"/>
  <c r="A166" i="25"/>
  <c r="C165" i="25"/>
  <c r="D165" i="25"/>
  <c r="B165" i="25"/>
  <c r="A165" i="25"/>
  <c r="C164" i="25"/>
  <c r="D164" i="25"/>
  <c r="B164" i="25"/>
  <c r="A164" i="25"/>
  <c r="C163" i="25"/>
  <c r="D163" i="25"/>
  <c r="B163" i="25"/>
  <c r="A163" i="25"/>
  <c r="C162" i="25"/>
  <c r="D162" i="25"/>
  <c r="B162" i="25"/>
  <c r="A162" i="25"/>
  <c r="B161" i="25"/>
  <c r="G160" i="25"/>
  <c r="F160" i="25"/>
  <c r="E160" i="25"/>
  <c r="D160" i="25"/>
  <c r="C160" i="25"/>
  <c r="B153" i="25"/>
  <c r="A153" i="25"/>
  <c r="B152" i="25"/>
  <c r="D152" i="25" s="1"/>
  <c r="A152" i="25"/>
  <c r="B151" i="25"/>
  <c r="C151" i="25" s="1"/>
  <c r="A151" i="25"/>
  <c r="B150" i="25"/>
  <c r="A150" i="25"/>
  <c r="B149" i="25"/>
  <c r="E149" i="25" s="1"/>
  <c r="A149" i="25"/>
  <c r="B148" i="25"/>
  <c r="D148" i="25" s="1"/>
  <c r="A148" i="25"/>
  <c r="B147" i="25"/>
  <c r="F147" i="25" s="1"/>
  <c r="A147" i="25"/>
  <c r="B146" i="25"/>
  <c r="A146" i="25"/>
  <c r="B145" i="25"/>
  <c r="A145" i="25"/>
  <c r="B144" i="25"/>
  <c r="A144" i="25"/>
  <c r="B143" i="25"/>
  <c r="A143" i="25"/>
  <c r="B142" i="25"/>
  <c r="A142" i="25"/>
  <c r="B141" i="25"/>
  <c r="A141" i="25"/>
  <c r="B140" i="25"/>
  <c r="A140" i="25"/>
  <c r="B139" i="25"/>
  <c r="A139" i="25"/>
  <c r="B135" i="25"/>
  <c r="A135" i="25"/>
  <c r="B134" i="25"/>
  <c r="A134" i="25"/>
  <c r="B133" i="25"/>
  <c r="A133" i="25"/>
  <c r="B132" i="25"/>
  <c r="A132" i="25"/>
  <c r="B131" i="25"/>
  <c r="A131" i="25"/>
  <c r="B130" i="25"/>
  <c r="A130" i="25"/>
  <c r="B129" i="25"/>
  <c r="A129" i="25"/>
  <c r="B128" i="25"/>
  <c r="A128" i="25"/>
  <c r="B127" i="25"/>
  <c r="A127" i="25"/>
  <c r="B126" i="25"/>
  <c r="A126" i="25"/>
  <c r="B125" i="25"/>
  <c r="A125" i="25"/>
  <c r="B124" i="25"/>
  <c r="A124" i="25"/>
  <c r="B123" i="25"/>
  <c r="A123" i="25"/>
  <c r="B122" i="25"/>
  <c r="A122" i="25"/>
  <c r="B121" i="25"/>
  <c r="A121" i="25"/>
  <c r="G118" i="25"/>
  <c r="F118" i="25"/>
  <c r="E118" i="25"/>
  <c r="D118" i="25"/>
  <c r="C118" i="25"/>
  <c r="B118" i="25"/>
  <c r="A118" i="25"/>
  <c r="G117" i="25"/>
  <c r="F117" i="25"/>
  <c r="F152" i="25"/>
  <c r="E117" i="25"/>
  <c r="D117" i="25"/>
  <c r="C117" i="25"/>
  <c r="B117" i="25"/>
  <c r="A117" i="25"/>
  <c r="G116" i="25"/>
  <c r="F116" i="25"/>
  <c r="F151" i="25"/>
  <c r="E116" i="25"/>
  <c r="D116" i="25"/>
  <c r="D151" i="25"/>
  <c r="C116" i="25"/>
  <c r="B116" i="25"/>
  <c r="C133" i="25" s="1"/>
  <c r="A116" i="25"/>
  <c r="G115" i="25"/>
  <c r="F115" i="25"/>
  <c r="E115" i="25"/>
  <c r="D115" i="25"/>
  <c r="C115" i="25"/>
  <c r="E132" i="25"/>
  <c r="B115" i="25"/>
  <c r="A115" i="25"/>
  <c r="G114" i="25"/>
  <c r="F114" i="25"/>
  <c r="E114" i="25"/>
  <c r="D114" i="25"/>
  <c r="C114" i="25"/>
  <c r="B114" i="25"/>
  <c r="C131" i="25" s="1"/>
  <c r="A114" i="25"/>
  <c r="G113" i="25"/>
  <c r="F113" i="25"/>
  <c r="F148" i="25"/>
  <c r="E113" i="25"/>
  <c r="D113" i="25"/>
  <c r="C113" i="25"/>
  <c r="F130" i="25"/>
  <c r="B113" i="25"/>
  <c r="A113" i="25"/>
  <c r="G112" i="25"/>
  <c r="F112" i="25"/>
  <c r="E112" i="25"/>
  <c r="D112" i="25"/>
  <c r="D147" i="25"/>
  <c r="C112" i="25"/>
  <c r="C147" i="25"/>
  <c r="B112" i="25"/>
  <c r="C129" i="25" s="1"/>
  <c r="A112" i="25"/>
  <c r="G111" i="25"/>
  <c r="F111" i="25"/>
  <c r="E111" i="25"/>
  <c r="D111" i="25"/>
  <c r="C111" i="25"/>
  <c r="B111" i="25"/>
  <c r="C128" i="25" s="1"/>
  <c r="A111" i="25"/>
  <c r="G110" i="25"/>
  <c r="F110" i="25"/>
  <c r="F145" i="25"/>
  <c r="E110" i="25"/>
  <c r="D110" i="25"/>
  <c r="C110" i="25"/>
  <c r="B110" i="25"/>
  <c r="C127" i="25" s="1"/>
  <c r="A110" i="25"/>
  <c r="G109" i="25"/>
  <c r="F109" i="25"/>
  <c r="F144" i="25"/>
  <c r="E109" i="25"/>
  <c r="D109" i="25"/>
  <c r="D144" i="25"/>
  <c r="C109" i="25"/>
  <c r="B109" i="25"/>
  <c r="A109" i="25"/>
  <c r="G108" i="25"/>
  <c r="F108" i="25"/>
  <c r="F143" i="25"/>
  <c r="E108" i="25"/>
  <c r="D108" i="25"/>
  <c r="D143" i="25"/>
  <c r="C108" i="25"/>
  <c r="C143" i="25"/>
  <c r="B108" i="25"/>
  <c r="C125" i="25"/>
  <c r="A108" i="25"/>
  <c r="G107" i="25"/>
  <c r="F107" i="25"/>
  <c r="E107" i="25"/>
  <c r="D107" i="25"/>
  <c r="C107" i="25"/>
  <c r="F124" i="25"/>
  <c r="B107" i="25"/>
  <c r="A107" i="25"/>
  <c r="G106" i="25"/>
  <c r="F106" i="25"/>
  <c r="F141" i="25"/>
  <c r="E106" i="25"/>
  <c r="D106" i="25"/>
  <c r="C106" i="25"/>
  <c r="B106" i="25"/>
  <c r="C123" i="25" s="1"/>
  <c r="A106" i="25"/>
  <c r="G105" i="25"/>
  <c r="F105" i="25"/>
  <c r="F140" i="25"/>
  <c r="E105" i="25"/>
  <c r="D105" i="25"/>
  <c r="D140" i="25"/>
  <c r="C105" i="25"/>
  <c r="F122" i="25"/>
  <c r="B105" i="25"/>
  <c r="A105" i="25"/>
  <c r="G104" i="25"/>
  <c r="F104" i="25"/>
  <c r="F139" i="25"/>
  <c r="E104" i="25"/>
  <c r="D104" i="25"/>
  <c r="D139" i="25"/>
  <c r="C104" i="25"/>
  <c r="C139" i="25"/>
  <c r="B104" i="25"/>
  <c r="C121" i="25"/>
  <c r="A104" i="25"/>
  <c r="K91" i="25"/>
  <c r="J91" i="25"/>
  <c r="I91" i="25"/>
  <c r="H91" i="25"/>
  <c r="G91" i="25"/>
  <c r="F91" i="25"/>
  <c r="E91" i="25"/>
  <c r="D91" i="25"/>
  <c r="C91" i="25"/>
  <c r="B91" i="25"/>
  <c r="B15" i="25"/>
  <c r="B23" i="25" s="1"/>
  <c r="B3" i="25"/>
  <c r="B2" i="25"/>
  <c r="C1" i="25"/>
  <c r="A344" i="21"/>
  <c r="A336" i="21"/>
  <c r="A328" i="21"/>
  <c r="A351" i="21"/>
  <c r="A350" i="21"/>
  <c r="A349" i="21"/>
  <c r="A348" i="21"/>
  <c r="A347" i="21"/>
  <c r="A346" i="21"/>
  <c r="A345" i="21"/>
  <c r="A343" i="21"/>
  <c r="A342" i="21"/>
  <c r="A341" i="21"/>
  <c r="A340" i="21"/>
  <c r="A339" i="21"/>
  <c r="A338" i="21"/>
  <c r="A337" i="21"/>
  <c r="A335" i="21"/>
  <c r="A334" i="21"/>
  <c r="A333" i="21"/>
  <c r="A332" i="21"/>
  <c r="A331" i="21"/>
  <c r="A330" i="21"/>
  <c r="A329" i="21"/>
  <c r="L241" i="21"/>
  <c r="L240" i="21"/>
  <c r="D240" i="21"/>
  <c r="D270" i="21" s="1"/>
  <c r="H240" i="21"/>
  <c r="H270" i="21" s="1"/>
  <c r="L239" i="21"/>
  <c r="F239" i="21"/>
  <c r="F269" i="21"/>
  <c r="L238" i="21"/>
  <c r="F238" i="21"/>
  <c r="F268" i="21" s="1"/>
  <c r="H238" i="21"/>
  <c r="H268" i="21" s="1"/>
  <c r="L237" i="21"/>
  <c r="F237" i="21"/>
  <c r="F267" i="21"/>
  <c r="D237" i="21"/>
  <c r="D267" i="21"/>
  <c r="L236" i="21"/>
  <c r="D236" i="21" s="1"/>
  <c r="D266" i="21" s="1"/>
  <c r="F236" i="21"/>
  <c r="F266" i="21" s="1"/>
  <c r="B236" i="21"/>
  <c r="B266" i="21" s="1"/>
  <c r="L235" i="21"/>
  <c r="F235" i="21" s="1"/>
  <c r="F265" i="21" s="1"/>
  <c r="L234" i="21"/>
  <c r="J234" i="21" s="1"/>
  <c r="J264" i="21" s="1"/>
  <c r="H234" i="21"/>
  <c r="H264" i="21" s="1"/>
  <c r="D234" i="21"/>
  <c r="D264" i="21" s="1"/>
  <c r="L233" i="21"/>
  <c r="L232" i="21"/>
  <c r="F232" i="21" s="1"/>
  <c r="F262" i="21" s="1"/>
  <c r="L231" i="21"/>
  <c r="L230" i="21"/>
  <c r="J230" i="21" s="1"/>
  <c r="J260" i="21" s="1"/>
  <c r="L229" i="21"/>
  <c r="L228" i="21"/>
  <c r="J228" i="21"/>
  <c r="J258" i="21" s="1"/>
  <c r="L227" i="21"/>
  <c r="F227" i="21" s="1"/>
  <c r="F257" i="21" s="1"/>
  <c r="L226" i="21"/>
  <c r="J226" i="21"/>
  <c r="J256" i="21" s="1"/>
  <c r="H226" i="21"/>
  <c r="H256" i="21" s="1"/>
  <c r="L225" i="21"/>
  <c r="F225" i="21" s="1"/>
  <c r="F255" i="21" s="1"/>
  <c r="L224" i="21"/>
  <c r="J224" i="21"/>
  <c r="J254" i="21" s="1"/>
  <c r="D224" i="21"/>
  <c r="D254" i="21" s="1"/>
  <c r="L223" i="21"/>
  <c r="F223" i="21" s="1"/>
  <c r="F253" i="21" s="1"/>
  <c r="L222" i="21"/>
  <c r="J222" i="21"/>
  <c r="J252" i="21" s="1"/>
  <c r="H222" i="21"/>
  <c r="H252" i="21" s="1"/>
  <c r="L221" i="21"/>
  <c r="F221" i="21" s="1"/>
  <c r="F251" i="21" s="1"/>
  <c r="L220" i="21"/>
  <c r="J220" i="21"/>
  <c r="J250" i="21" s="1"/>
  <c r="L219" i="21"/>
  <c r="F219" i="21" s="1"/>
  <c r="F249" i="21" s="1"/>
  <c r="L218" i="21"/>
  <c r="J218" i="21" s="1"/>
  <c r="J248" i="21" s="1"/>
  <c r="H218" i="21"/>
  <c r="H248" i="21" s="1"/>
  <c r="D218" i="21"/>
  <c r="D248" i="21" s="1"/>
  <c r="G200" i="21"/>
  <c r="A200" i="21"/>
  <c r="A241" i="21"/>
  <c r="A271" i="21" s="1"/>
  <c r="A298" i="21" s="1"/>
  <c r="A324" i="21" s="1"/>
  <c r="G199" i="21"/>
  <c r="A199" i="21"/>
  <c r="A240" i="21" s="1"/>
  <c r="A270" i="21" s="1"/>
  <c r="A297" i="21" s="1"/>
  <c r="A323" i="21" s="1"/>
  <c r="G198" i="21"/>
  <c r="A198" i="21"/>
  <c r="A239" i="21"/>
  <c r="A269" i="21" s="1"/>
  <c r="A296" i="21" s="1"/>
  <c r="A322" i="21" s="1"/>
  <c r="G197" i="21"/>
  <c r="A197" i="21"/>
  <c r="A238" i="21"/>
  <c r="A268" i="21" s="1"/>
  <c r="A295" i="21"/>
  <c r="A321" i="21" s="1"/>
  <c r="G196" i="21"/>
  <c r="A196" i="21"/>
  <c r="A237" i="21"/>
  <c r="A267" i="21" s="1"/>
  <c r="A294" i="21" s="1"/>
  <c r="A320" i="21" s="1"/>
  <c r="G195" i="21"/>
  <c r="A195" i="21"/>
  <c r="A236" i="21" s="1"/>
  <c r="A266" i="21" s="1"/>
  <c r="A293" i="21" s="1"/>
  <c r="A319" i="21" s="1"/>
  <c r="G194" i="21"/>
  <c r="A194" i="21"/>
  <c r="A235" i="21"/>
  <c r="A265" i="21" s="1"/>
  <c r="A292" i="21" s="1"/>
  <c r="A318" i="21" s="1"/>
  <c r="G193" i="21"/>
  <c r="A193" i="21"/>
  <c r="A234" i="21"/>
  <c r="A264" i="21" s="1"/>
  <c r="A291" i="21"/>
  <c r="A317" i="21" s="1"/>
  <c r="G192" i="21"/>
  <c r="A192" i="21"/>
  <c r="A233" i="21"/>
  <c r="A263" i="21" s="1"/>
  <c r="A290" i="21"/>
  <c r="A316" i="21" s="1"/>
  <c r="G191" i="21"/>
  <c r="A191" i="21"/>
  <c r="A232" i="21" s="1"/>
  <c r="A262" i="21" s="1"/>
  <c r="A289" i="21" s="1"/>
  <c r="A315" i="21" s="1"/>
  <c r="G190" i="21"/>
  <c r="A190" i="21"/>
  <c r="A231" i="21"/>
  <c r="A261" i="21" s="1"/>
  <c r="A288" i="21" s="1"/>
  <c r="A314" i="21" s="1"/>
  <c r="G189" i="21"/>
  <c r="A189" i="21"/>
  <c r="A230" i="21"/>
  <c r="A260" i="21" s="1"/>
  <c r="A287" i="21" s="1"/>
  <c r="A313" i="21" s="1"/>
  <c r="G188" i="21"/>
  <c r="A188" i="21"/>
  <c r="A229" i="21"/>
  <c r="A259" i="21" s="1"/>
  <c r="A286" i="21" s="1"/>
  <c r="A312" i="21" s="1"/>
  <c r="G187" i="21"/>
  <c r="A187" i="21"/>
  <c r="A228" i="21" s="1"/>
  <c r="A258" i="21" s="1"/>
  <c r="A285" i="21" s="1"/>
  <c r="A311" i="21" s="1"/>
  <c r="G186" i="21"/>
  <c r="A186" i="21"/>
  <c r="A227" i="21"/>
  <c r="A257" i="21" s="1"/>
  <c r="A284" i="21" s="1"/>
  <c r="A310" i="21" s="1"/>
  <c r="G185" i="21"/>
  <c r="A185" i="21"/>
  <c r="A226" i="21"/>
  <c r="A256" i="21" s="1"/>
  <c r="A283" i="21" s="1"/>
  <c r="A309" i="21" s="1"/>
  <c r="G184" i="21"/>
  <c r="A184" i="21"/>
  <c r="A225" i="21" s="1"/>
  <c r="A255" i="21" s="1"/>
  <c r="A282" i="21" s="1"/>
  <c r="A308" i="21" s="1"/>
  <c r="G183" i="21"/>
  <c r="A183" i="21"/>
  <c r="A224" i="21" s="1"/>
  <c r="A254" i="21" s="1"/>
  <c r="A281" i="21" s="1"/>
  <c r="A307" i="21" s="1"/>
  <c r="G182" i="21"/>
  <c r="A182" i="21"/>
  <c r="A223" i="21"/>
  <c r="A253" i="21" s="1"/>
  <c r="A280" i="21" s="1"/>
  <c r="A306" i="21" s="1"/>
  <c r="G181" i="21"/>
  <c r="A181" i="21"/>
  <c r="A222" i="21"/>
  <c r="A252" i="21" s="1"/>
  <c r="A279" i="21"/>
  <c r="A305" i="21" s="1"/>
  <c r="G180" i="21"/>
  <c r="A180" i="21"/>
  <c r="A221" i="21" s="1"/>
  <c r="A251" i="21" s="1"/>
  <c r="A278" i="21" s="1"/>
  <c r="A304" i="21" s="1"/>
  <c r="G179" i="21"/>
  <c r="A179" i="21"/>
  <c r="A220" i="21" s="1"/>
  <c r="A250" i="21" s="1"/>
  <c r="A277" i="21" s="1"/>
  <c r="A303" i="21" s="1"/>
  <c r="G178" i="21"/>
  <c r="A178" i="21"/>
  <c r="A219" i="21"/>
  <c r="A249" i="21" s="1"/>
  <c r="A276" i="21" s="1"/>
  <c r="A302" i="21" s="1"/>
  <c r="G177" i="21"/>
  <c r="A177" i="21"/>
  <c r="A218" i="21"/>
  <c r="A248" i="21" s="1"/>
  <c r="A275" i="21" s="1"/>
  <c r="A301" i="21" s="1"/>
  <c r="C173" i="21"/>
  <c r="D173" i="21"/>
  <c r="B173" i="21"/>
  <c r="A173" i="21"/>
  <c r="C172" i="21"/>
  <c r="D172" i="21"/>
  <c r="B172" i="21"/>
  <c r="A172" i="21"/>
  <c r="C171" i="21"/>
  <c r="D171" i="21"/>
  <c r="B171" i="21"/>
  <c r="A171" i="21"/>
  <c r="C170" i="21"/>
  <c r="D170" i="21"/>
  <c r="B170" i="21"/>
  <c r="A170" i="21"/>
  <c r="C169" i="21"/>
  <c r="D169" i="21"/>
  <c r="B169" i="21"/>
  <c r="A169" i="21"/>
  <c r="C168" i="21"/>
  <c r="D168" i="21"/>
  <c r="B168" i="21"/>
  <c r="A168" i="21"/>
  <c r="C167" i="21"/>
  <c r="D167" i="21"/>
  <c r="B167" i="21"/>
  <c r="A167" i="21"/>
  <c r="C166" i="21"/>
  <c r="D166" i="21"/>
  <c r="B166" i="21"/>
  <c r="A166" i="21"/>
  <c r="C165" i="21"/>
  <c r="D165" i="21"/>
  <c r="B165" i="21"/>
  <c r="A165" i="21"/>
  <c r="C164" i="21"/>
  <c r="D164" i="21"/>
  <c r="B164" i="21"/>
  <c r="A164" i="21"/>
  <c r="C163" i="21"/>
  <c r="D163" i="21"/>
  <c r="B163" i="21"/>
  <c r="A163" i="21"/>
  <c r="C162" i="21"/>
  <c r="D162" i="21"/>
  <c r="B162" i="21"/>
  <c r="A162" i="21"/>
  <c r="B161" i="21"/>
  <c r="G160" i="21"/>
  <c r="F160" i="21"/>
  <c r="E160" i="21"/>
  <c r="D160" i="21"/>
  <c r="C160" i="21"/>
  <c r="B153" i="21"/>
  <c r="A153" i="21"/>
  <c r="B152" i="21"/>
  <c r="A152" i="21"/>
  <c r="B151" i="21"/>
  <c r="A151" i="21"/>
  <c r="B150" i="21"/>
  <c r="A150" i="21"/>
  <c r="B149" i="21"/>
  <c r="F149" i="21" s="1"/>
  <c r="A149" i="21"/>
  <c r="B148" i="21"/>
  <c r="D148" i="21"/>
  <c r="A148" i="21"/>
  <c r="B147" i="21"/>
  <c r="D147" i="21"/>
  <c r="A147" i="21"/>
  <c r="B146" i="21"/>
  <c r="A146" i="21"/>
  <c r="B145" i="21"/>
  <c r="A145" i="21"/>
  <c r="B144" i="21"/>
  <c r="F144" i="21" s="1"/>
  <c r="A144" i="21"/>
  <c r="B143" i="21"/>
  <c r="A143" i="21"/>
  <c r="B142" i="21"/>
  <c r="A142" i="21"/>
  <c r="B141" i="21"/>
  <c r="A141" i="21"/>
  <c r="B140" i="21"/>
  <c r="D140" i="21"/>
  <c r="A140" i="21"/>
  <c r="B139" i="21"/>
  <c r="A139" i="21"/>
  <c r="B135" i="21"/>
  <c r="A135" i="21"/>
  <c r="B134" i="21"/>
  <c r="A134" i="21"/>
  <c r="B133" i="21"/>
  <c r="A133" i="21"/>
  <c r="B132" i="21"/>
  <c r="A132" i="21"/>
  <c r="B131" i="21"/>
  <c r="A131" i="21"/>
  <c r="B130" i="21"/>
  <c r="A130" i="21"/>
  <c r="B129" i="21"/>
  <c r="A129" i="21"/>
  <c r="B128" i="21"/>
  <c r="A128" i="21"/>
  <c r="B127" i="21"/>
  <c r="A127" i="21"/>
  <c r="B126" i="21"/>
  <c r="A126" i="21"/>
  <c r="B125" i="21"/>
  <c r="A125" i="21"/>
  <c r="B124" i="21"/>
  <c r="A124" i="21"/>
  <c r="B123" i="21"/>
  <c r="A123" i="21"/>
  <c r="B122" i="21"/>
  <c r="A122" i="21"/>
  <c r="B121" i="21"/>
  <c r="A121" i="21"/>
  <c r="G118" i="21"/>
  <c r="F118" i="21"/>
  <c r="E118" i="21"/>
  <c r="D118" i="21"/>
  <c r="C118" i="21"/>
  <c r="B118" i="21"/>
  <c r="A118" i="21"/>
  <c r="G117" i="21"/>
  <c r="F117" i="21"/>
  <c r="F152" i="21"/>
  <c r="E117" i="21"/>
  <c r="D117" i="21"/>
  <c r="D152" i="21"/>
  <c r="C117" i="21"/>
  <c r="B117" i="21"/>
  <c r="A117" i="21"/>
  <c r="G116" i="21"/>
  <c r="G151" i="21"/>
  <c r="F116" i="21"/>
  <c r="E116" i="21"/>
  <c r="D116" i="21"/>
  <c r="C116" i="21"/>
  <c r="B116" i="21"/>
  <c r="A116" i="21"/>
  <c r="G115" i="21"/>
  <c r="G150" i="21"/>
  <c r="F115" i="21"/>
  <c r="E115" i="21"/>
  <c r="D115" i="21"/>
  <c r="C115" i="21"/>
  <c r="B115" i="21"/>
  <c r="A115" i="21"/>
  <c r="G114" i="21"/>
  <c r="F114" i="21"/>
  <c r="E114" i="21"/>
  <c r="D114" i="21"/>
  <c r="C114" i="21"/>
  <c r="B114" i="21"/>
  <c r="A114" i="21"/>
  <c r="G113" i="21"/>
  <c r="F113" i="21"/>
  <c r="F148" i="21"/>
  <c r="E113" i="21"/>
  <c r="D113" i="21"/>
  <c r="C113" i="21"/>
  <c r="B113" i="21"/>
  <c r="A113" i="21"/>
  <c r="G112" i="21"/>
  <c r="F112" i="21"/>
  <c r="E112" i="21"/>
  <c r="D112" i="21"/>
  <c r="C112" i="21"/>
  <c r="B112" i="21"/>
  <c r="A112" i="21"/>
  <c r="G111" i="21"/>
  <c r="F111" i="21"/>
  <c r="E111" i="21"/>
  <c r="D111" i="21"/>
  <c r="C111" i="21"/>
  <c r="B111" i="21"/>
  <c r="A111" i="21"/>
  <c r="G110" i="21"/>
  <c r="G145" i="21"/>
  <c r="F110" i="21"/>
  <c r="E110" i="21"/>
  <c r="D110" i="21"/>
  <c r="D145" i="21"/>
  <c r="C110" i="21"/>
  <c r="B110" i="21"/>
  <c r="A110" i="21"/>
  <c r="G109" i="21"/>
  <c r="F109" i="21"/>
  <c r="E109" i="21"/>
  <c r="D109" i="21"/>
  <c r="C109" i="21"/>
  <c r="B109" i="21"/>
  <c r="A109" i="21"/>
  <c r="G108" i="21"/>
  <c r="G143" i="21"/>
  <c r="F108" i="21"/>
  <c r="E108" i="21"/>
  <c r="D108" i="21"/>
  <c r="C108" i="21"/>
  <c r="B108" i="21"/>
  <c r="A108" i="21"/>
  <c r="G107" i="21"/>
  <c r="F107" i="21"/>
  <c r="E107" i="21"/>
  <c r="D107" i="21"/>
  <c r="C107" i="21"/>
  <c r="B107" i="21"/>
  <c r="A107" i="21"/>
  <c r="G106" i="21"/>
  <c r="F106" i="21"/>
  <c r="E106" i="21"/>
  <c r="D106" i="21"/>
  <c r="C106" i="21"/>
  <c r="B106" i="21"/>
  <c r="A106" i="21"/>
  <c r="G105" i="21"/>
  <c r="F105" i="21"/>
  <c r="F140" i="21"/>
  <c r="E105" i="21"/>
  <c r="D105" i="21"/>
  <c r="C105" i="21"/>
  <c r="B105" i="21"/>
  <c r="C122" i="21" s="1"/>
  <c r="A105" i="21"/>
  <c r="G104" i="21"/>
  <c r="F104" i="21"/>
  <c r="E104" i="21"/>
  <c r="D104" i="21"/>
  <c r="C104" i="21"/>
  <c r="B104" i="21"/>
  <c r="A104" i="21"/>
  <c r="K91" i="21"/>
  <c r="J91" i="21"/>
  <c r="I91" i="21"/>
  <c r="H91" i="21"/>
  <c r="G91" i="21"/>
  <c r="F91" i="21"/>
  <c r="E91" i="21"/>
  <c r="D91" i="21"/>
  <c r="C91" i="21"/>
  <c r="B91" i="21"/>
  <c r="B15" i="21"/>
  <c r="B16" i="21" s="1"/>
  <c r="B18" i="21" s="1"/>
  <c r="B3" i="21"/>
  <c r="B2" i="21"/>
  <c r="C2" i="21" s="1"/>
  <c r="C4" i="21" s="1"/>
  <c r="B5" i="21"/>
  <c r="C1" i="21"/>
  <c r="A347" i="17"/>
  <c r="A339" i="17"/>
  <c r="A331" i="17"/>
  <c r="A351" i="17"/>
  <c r="A350" i="17"/>
  <c r="A349" i="17"/>
  <c r="A348" i="17"/>
  <c r="A346" i="17"/>
  <c r="A345" i="17"/>
  <c r="A344" i="17"/>
  <c r="A343" i="17"/>
  <c r="A342" i="17"/>
  <c r="A341" i="17"/>
  <c r="A340" i="17"/>
  <c r="A338" i="17"/>
  <c r="A337" i="17"/>
  <c r="A336" i="17"/>
  <c r="A335" i="17"/>
  <c r="A334" i="17"/>
  <c r="A333" i="17"/>
  <c r="A332" i="17"/>
  <c r="A330" i="17"/>
  <c r="A329" i="17"/>
  <c r="A328" i="17"/>
  <c r="L241" i="17"/>
  <c r="L240" i="17"/>
  <c r="D240" i="17"/>
  <c r="D270" i="17" s="1"/>
  <c r="L239" i="17"/>
  <c r="D239" i="17" s="1"/>
  <c r="D269" i="17" s="1"/>
  <c r="L238" i="17"/>
  <c r="D238" i="17"/>
  <c r="D268" i="17" s="1"/>
  <c r="L237" i="17"/>
  <c r="L236" i="17"/>
  <c r="D236" i="17"/>
  <c r="D266" i="17" s="1"/>
  <c r="L235" i="17"/>
  <c r="L234" i="17"/>
  <c r="L233" i="17"/>
  <c r="D233" i="17" s="1"/>
  <c r="D263" i="17"/>
  <c r="L232" i="17"/>
  <c r="D232" i="17" s="1"/>
  <c r="D262" i="17" s="1"/>
  <c r="L231" i="17"/>
  <c r="D231" i="17" s="1"/>
  <c r="D261" i="17" s="1"/>
  <c r="L230" i="17"/>
  <c r="L229" i="17"/>
  <c r="L228" i="17"/>
  <c r="L227" i="17"/>
  <c r="L226" i="17"/>
  <c r="H226" i="17"/>
  <c r="H256" i="17" s="1"/>
  <c r="L225" i="17"/>
  <c r="L224" i="17"/>
  <c r="H224" i="17"/>
  <c r="H254" i="17" s="1"/>
  <c r="L223" i="17"/>
  <c r="L222" i="17"/>
  <c r="H222" i="17"/>
  <c r="H252" i="17" s="1"/>
  <c r="L221" i="17"/>
  <c r="L220" i="17"/>
  <c r="H220" i="17"/>
  <c r="H250" i="17" s="1"/>
  <c r="L219" i="17"/>
  <c r="H219" i="17" s="1"/>
  <c r="H249" i="17" s="1"/>
  <c r="L218" i="17"/>
  <c r="H218" i="17"/>
  <c r="H248" i="17" s="1"/>
  <c r="G200" i="17"/>
  <c r="A200" i="17"/>
  <c r="A241" i="17"/>
  <c r="A271" i="17" s="1"/>
  <c r="A298" i="17" s="1"/>
  <c r="A324" i="17" s="1"/>
  <c r="G199" i="17"/>
  <c r="A199" i="17"/>
  <c r="A240" i="17"/>
  <c r="A270" i="17" s="1"/>
  <c r="A297" i="17" s="1"/>
  <c r="A323" i="17" s="1"/>
  <c r="G198" i="17"/>
  <c r="A198" i="17"/>
  <c r="A239" i="17"/>
  <c r="A269" i="17" s="1"/>
  <c r="A296" i="17"/>
  <c r="A322" i="17" s="1"/>
  <c r="G197" i="17"/>
  <c r="A197" i="17"/>
  <c r="A238" i="17"/>
  <c r="A268" i="17" s="1"/>
  <c r="A295" i="17" s="1"/>
  <c r="A321" i="17" s="1"/>
  <c r="G196" i="17"/>
  <c r="A196" i="17"/>
  <c r="A237" i="17"/>
  <c r="A267" i="17" s="1"/>
  <c r="A294" i="17" s="1"/>
  <c r="A320" i="17" s="1"/>
  <c r="G195" i="17"/>
  <c r="A195" i="17"/>
  <c r="A236" i="17" s="1"/>
  <c r="A266" i="17" s="1"/>
  <c r="A293" i="17" s="1"/>
  <c r="A319" i="17" s="1"/>
  <c r="G194" i="17"/>
  <c r="A194" i="17"/>
  <c r="A235" i="17" s="1"/>
  <c r="A265" i="17" s="1"/>
  <c r="A292" i="17" s="1"/>
  <c r="A318" i="17" s="1"/>
  <c r="G193" i="17"/>
  <c r="A193" i="17"/>
  <c r="A234" i="17"/>
  <c r="A264" i="17"/>
  <c r="A291" i="17" s="1"/>
  <c r="A317" i="17" s="1"/>
  <c r="G192" i="17"/>
  <c r="A192" i="17"/>
  <c r="A233" i="17"/>
  <c r="A263" i="17" s="1"/>
  <c r="A290" i="17" s="1"/>
  <c r="A316" i="17" s="1"/>
  <c r="G191" i="17"/>
  <c r="A191" i="17"/>
  <c r="A232" i="17" s="1"/>
  <c r="A262" i="17" s="1"/>
  <c r="A289" i="17" s="1"/>
  <c r="A315" i="17" s="1"/>
  <c r="G190" i="17"/>
  <c r="A190" i="17"/>
  <c r="A231" i="17" s="1"/>
  <c r="A261" i="17" s="1"/>
  <c r="A288" i="17" s="1"/>
  <c r="A314" i="17" s="1"/>
  <c r="G189" i="17"/>
  <c r="A189" i="17"/>
  <c r="A230" i="17"/>
  <c r="A260" i="17"/>
  <c r="A287" i="17" s="1"/>
  <c r="A313" i="17" s="1"/>
  <c r="G188" i="17"/>
  <c r="A188" i="17"/>
  <c r="A229" i="17"/>
  <c r="A259" i="17" s="1"/>
  <c r="A286" i="17" s="1"/>
  <c r="A312" i="17" s="1"/>
  <c r="G187" i="17"/>
  <c r="A187" i="17"/>
  <c r="A228" i="17" s="1"/>
  <c r="A258" i="17" s="1"/>
  <c r="A285" i="17" s="1"/>
  <c r="A311" i="17" s="1"/>
  <c r="G186" i="17"/>
  <c r="A186" i="17"/>
  <c r="A227" i="17" s="1"/>
  <c r="A257" i="17" s="1"/>
  <c r="A284" i="17" s="1"/>
  <c r="A310" i="17" s="1"/>
  <c r="G185" i="17"/>
  <c r="A185" i="17"/>
  <c r="A226" i="17"/>
  <c r="A256" i="17"/>
  <c r="A283" i="17" s="1"/>
  <c r="A309" i="17" s="1"/>
  <c r="G184" i="17"/>
  <c r="A184" i="17"/>
  <c r="A225" i="17"/>
  <c r="A255" i="17" s="1"/>
  <c r="A282" i="17" s="1"/>
  <c r="A308" i="17" s="1"/>
  <c r="G183" i="17"/>
  <c r="A183" i="17"/>
  <c r="A224" i="17" s="1"/>
  <c r="A254" i="17" s="1"/>
  <c r="A281" i="17" s="1"/>
  <c r="A307" i="17" s="1"/>
  <c r="G182" i="17"/>
  <c r="A182" i="17"/>
  <c r="A223" i="17" s="1"/>
  <c r="A253" i="17" s="1"/>
  <c r="A280" i="17" s="1"/>
  <c r="A306" i="17" s="1"/>
  <c r="G181" i="17"/>
  <c r="A181" i="17"/>
  <c r="A222" i="17"/>
  <c r="A252" i="17"/>
  <c r="A279" i="17" s="1"/>
  <c r="A305" i="17" s="1"/>
  <c r="G180" i="17"/>
  <c r="A180" i="17"/>
  <c r="A221" i="17"/>
  <c r="A251" i="17" s="1"/>
  <c r="A278" i="17" s="1"/>
  <c r="A304" i="17" s="1"/>
  <c r="G179" i="17"/>
  <c r="A179" i="17"/>
  <c r="A220" i="17" s="1"/>
  <c r="A250" i="17" s="1"/>
  <c r="A277" i="17" s="1"/>
  <c r="A303" i="17" s="1"/>
  <c r="G178" i="17"/>
  <c r="A178" i="17"/>
  <c r="A219" i="17" s="1"/>
  <c r="A249" i="17" s="1"/>
  <c r="A276" i="17" s="1"/>
  <c r="A302" i="17" s="1"/>
  <c r="G177" i="17"/>
  <c r="A177" i="17"/>
  <c r="A218" i="17"/>
  <c r="A248" i="17"/>
  <c r="A275" i="17" s="1"/>
  <c r="A301" i="17" s="1"/>
  <c r="C173" i="17"/>
  <c r="D173" i="17"/>
  <c r="B173" i="17"/>
  <c r="A173" i="17"/>
  <c r="C172" i="17"/>
  <c r="D172" i="17"/>
  <c r="B172" i="17"/>
  <c r="A172" i="17"/>
  <c r="C171" i="17"/>
  <c r="D171" i="17"/>
  <c r="B171" i="17"/>
  <c r="A171" i="17"/>
  <c r="C170" i="17"/>
  <c r="D170" i="17"/>
  <c r="B170" i="17"/>
  <c r="A170" i="17"/>
  <c r="C169" i="17"/>
  <c r="D169" i="17"/>
  <c r="B169" i="17"/>
  <c r="A169" i="17"/>
  <c r="C168" i="17"/>
  <c r="D168" i="17"/>
  <c r="B168" i="17"/>
  <c r="A168" i="17"/>
  <c r="C167" i="17"/>
  <c r="D167" i="17"/>
  <c r="B167" i="17"/>
  <c r="A167" i="17"/>
  <c r="C166" i="17"/>
  <c r="D166" i="17"/>
  <c r="B166" i="17"/>
  <c r="A166" i="17"/>
  <c r="C165" i="17"/>
  <c r="D165" i="17"/>
  <c r="B165" i="17"/>
  <c r="A165" i="17"/>
  <c r="C164" i="17"/>
  <c r="D164" i="17"/>
  <c r="B164" i="17"/>
  <c r="A164" i="17"/>
  <c r="C163" i="17"/>
  <c r="D163" i="17"/>
  <c r="B163" i="17"/>
  <c r="A163" i="17"/>
  <c r="C162" i="17"/>
  <c r="D162" i="17"/>
  <c r="B162" i="17"/>
  <c r="A162" i="17"/>
  <c r="B161" i="17"/>
  <c r="G160" i="17"/>
  <c r="F160" i="17"/>
  <c r="E160" i="17"/>
  <c r="D160" i="17"/>
  <c r="C160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E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E140" i="17" s="1"/>
  <c r="A140" i="17"/>
  <c r="B139" i="17"/>
  <c r="E139" i="17"/>
  <c r="A139" i="17"/>
  <c r="B135" i="17"/>
  <c r="A135" i="17"/>
  <c r="B134" i="17"/>
  <c r="A134" i="17"/>
  <c r="B133" i="17"/>
  <c r="G133" i="17" s="1"/>
  <c r="A133" i="17"/>
  <c r="B132" i="17"/>
  <c r="G132" i="17" s="1"/>
  <c r="A132" i="17"/>
  <c r="B131" i="17"/>
  <c r="A131" i="17"/>
  <c r="B130" i="17"/>
  <c r="G130" i="17" s="1"/>
  <c r="A130" i="17"/>
  <c r="B129" i="17"/>
  <c r="G129" i="17" s="1"/>
  <c r="A129" i="17"/>
  <c r="B128" i="17"/>
  <c r="G128" i="17"/>
  <c r="A128" i="17"/>
  <c r="B127" i="17"/>
  <c r="A127" i="17"/>
  <c r="B126" i="17"/>
  <c r="G126" i="17" s="1"/>
  <c r="A126" i="17"/>
  <c r="B125" i="17"/>
  <c r="G125" i="17"/>
  <c r="A125" i="17"/>
  <c r="B124" i="17"/>
  <c r="A124" i="17"/>
  <c r="B123" i="17"/>
  <c r="A123" i="17"/>
  <c r="B122" i="17"/>
  <c r="A122" i="17"/>
  <c r="B121" i="17"/>
  <c r="A121" i="17"/>
  <c r="G118" i="17"/>
  <c r="F118" i="17"/>
  <c r="E118" i="17"/>
  <c r="D118" i="17"/>
  <c r="C118" i="17"/>
  <c r="B118" i="17"/>
  <c r="A118" i="17"/>
  <c r="G117" i="17"/>
  <c r="F117" i="17"/>
  <c r="E117" i="17"/>
  <c r="D117" i="17"/>
  <c r="C117" i="17"/>
  <c r="B117" i="17"/>
  <c r="C134" i="17" s="1"/>
  <c r="A117" i="17"/>
  <c r="G116" i="17"/>
  <c r="F116" i="17"/>
  <c r="E116" i="17"/>
  <c r="D116" i="17"/>
  <c r="C116" i="17"/>
  <c r="B116" i="17"/>
  <c r="A116" i="17"/>
  <c r="G115" i="17"/>
  <c r="F115" i="17"/>
  <c r="E115" i="17"/>
  <c r="E150" i="17"/>
  <c r="D115" i="17"/>
  <c r="C115" i="17"/>
  <c r="B115" i="17"/>
  <c r="A115" i="17"/>
  <c r="G114" i="17"/>
  <c r="F114" i="17"/>
  <c r="E114" i="17"/>
  <c r="D114" i="17"/>
  <c r="C114" i="17"/>
  <c r="B114" i="17"/>
  <c r="A114" i="17"/>
  <c r="G113" i="17"/>
  <c r="F113" i="17"/>
  <c r="E113" i="17"/>
  <c r="E148" i="17"/>
  <c r="D113" i="17"/>
  <c r="C113" i="17"/>
  <c r="B113" i="17"/>
  <c r="C130" i="17"/>
  <c r="A113" i="17"/>
  <c r="G112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G110" i="17"/>
  <c r="F110" i="17"/>
  <c r="E110" i="17"/>
  <c r="D110" i="17"/>
  <c r="C110" i="17"/>
  <c r="B110" i="17"/>
  <c r="A110" i="17"/>
  <c r="G109" i="17"/>
  <c r="F109" i="17"/>
  <c r="E109" i="17"/>
  <c r="E144" i="17"/>
  <c r="D109" i="17"/>
  <c r="C109" i="17"/>
  <c r="B109" i="17"/>
  <c r="C126" i="17"/>
  <c r="A109" i="17"/>
  <c r="G108" i="17"/>
  <c r="F108" i="17"/>
  <c r="E108" i="17"/>
  <c r="D108" i="17"/>
  <c r="C108" i="17"/>
  <c r="B108" i="17"/>
  <c r="A108" i="17"/>
  <c r="G107" i="17"/>
  <c r="F107" i="17"/>
  <c r="E107" i="17"/>
  <c r="E142" i="17"/>
  <c r="D107" i="17"/>
  <c r="C107" i="17"/>
  <c r="B107" i="17"/>
  <c r="A107" i="17"/>
  <c r="G106" i="17"/>
  <c r="F106" i="17"/>
  <c r="E106" i="17"/>
  <c r="D106" i="17"/>
  <c r="C106" i="17"/>
  <c r="B106" i="17"/>
  <c r="A106" i="17"/>
  <c r="G105" i="17"/>
  <c r="F105" i="17"/>
  <c r="E105" i="17"/>
  <c r="D105" i="17"/>
  <c r="C105" i="17"/>
  <c r="B105" i="17"/>
  <c r="C122" i="17" s="1"/>
  <c r="A105" i="17"/>
  <c r="G104" i="17"/>
  <c r="F104" i="17"/>
  <c r="E104" i="17"/>
  <c r="D104" i="17"/>
  <c r="G121" i="17"/>
  <c r="C104" i="17"/>
  <c r="B104" i="17"/>
  <c r="A104" i="17"/>
  <c r="K91" i="17"/>
  <c r="J91" i="17"/>
  <c r="I91" i="17"/>
  <c r="H91" i="17"/>
  <c r="G91" i="17"/>
  <c r="F91" i="17"/>
  <c r="E91" i="17"/>
  <c r="D91" i="17"/>
  <c r="C91" i="17"/>
  <c r="B91" i="17"/>
  <c r="B15" i="17"/>
  <c r="B23" i="17" s="1"/>
  <c r="B3" i="17"/>
  <c r="B2" i="17"/>
  <c r="C1" i="17"/>
  <c r="A330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29" i="13"/>
  <c r="A328" i="13"/>
  <c r="A199" i="13"/>
  <c r="A240" i="13"/>
  <c r="A270" i="13"/>
  <c r="A297" i="13" s="1"/>
  <c r="A323" i="13" s="1"/>
  <c r="L241" i="13"/>
  <c r="J241" i="13" s="1"/>
  <c r="J271" i="13" s="1"/>
  <c r="D241" i="13"/>
  <c r="D271" i="13" s="1"/>
  <c r="L240" i="13"/>
  <c r="H240" i="13" s="1"/>
  <c r="H270" i="13" s="1"/>
  <c r="L239" i="13"/>
  <c r="F239" i="13"/>
  <c r="F269" i="13" s="1"/>
  <c r="L238" i="13"/>
  <c r="J238" i="13" s="1"/>
  <c r="J268" i="13" s="1"/>
  <c r="L237" i="13"/>
  <c r="F237" i="13" s="1"/>
  <c r="F267" i="13" s="1"/>
  <c r="L236" i="13"/>
  <c r="H236" i="13" s="1"/>
  <c r="H266" i="13" s="1"/>
  <c r="F236" i="13"/>
  <c r="F266" i="13"/>
  <c r="L235" i="13"/>
  <c r="B235" i="13" s="1"/>
  <c r="B265" i="13" s="1"/>
  <c r="L234" i="13"/>
  <c r="D234" i="13" s="1"/>
  <c r="D264" i="13" s="1"/>
  <c r="L233" i="13"/>
  <c r="F233" i="13" s="1"/>
  <c r="F263" i="13" s="1"/>
  <c r="L232" i="13"/>
  <c r="A191" i="13"/>
  <c r="A232" i="13"/>
  <c r="A262" i="13" s="1"/>
  <c r="A289" i="13" s="1"/>
  <c r="A315" i="13" s="1"/>
  <c r="L231" i="13"/>
  <c r="J231" i="13" s="1"/>
  <c r="J261" i="13" s="1"/>
  <c r="A190" i="13"/>
  <c r="A231" i="13"/>
  <c r="A261" i="13" s="1"/>
  <c r="A288" i="13" s="1"/>
  <c r="A314" i="13" s="1"/>
  <c r="L230" i="13"/>
  <c r="J230" i="13" s="1"/>
  <c r="J260" i="13" s="1"/>
  <c r="H230" i="13"/>
  <c r="H260" i="13"/>
  <c r="D230" i="13"/>
  <c r="D260" i="13" s="1"/>
  <c r="L229" i="13"/>
  <c r="L228" i="13"/>
  <c r="F228" i="13" s="1"/>
  <c r="F258" i="13" s="1"/>
  <c r="L227" i="13"/>
  <c r="J227" i="13"/>
  <c r="J257" i="13" s="1"/>
  <c r="L226" i="13"/>
  <c r="J226" i="13" s="1"/>
  <c r="J256" i="13" s="1"/>
  <c r="L225" i="13"/>
  <c r="J225" i="13"/>
  <c r="J255" i="13" s="1"/>
  <c r="L224" i="13"/>
  <c r="A183" i="13"/>
  <c r="A224" i="13" s="1"/>
  <c r="A254" i="13" s="1"/>
  <c r="A281" i="13" s="1"/>
  <c r="A307" i="13" s="1"/>
  <c r="L223" i="13"/>
  <c r="J223" i="13" s="1"/>
  <c r="J253" i="13" s="1"/>
  <c r="L222" i="13"/>
  <c r="F222" i="13" s="1"/>
  <c r="F252" i="13" s="1"/>
  <c r="L221" i="13"/>
  <c r="J221" i="13" s="1"/>
  <c r="J251" i="13" s="1"/>
  <c r="L220" i="13"/>
  <c r="H220" i="13"/>
  <c r="H250" i="13" s="1"/>
  <c r="L219" i="13"/>
  <c r="J219" i="13" s="1"/>
  <c r="J249" i="13" s="1"/>
  <c r="L218" i="13"/>
  <c r="F218" i="13"/>
  <c r="F248" i="13" s="1"/>
  <c r="G200" i="13"/>
  <c r="A200" i="13"/>
  <c r="A241" i="13" s="1"/>
  <c r="A271" i="13" s="1"/>
  <c r="A298" i="13" s="1"/>
  <c r="A324" i="13" s="1"/>
  <c r="G199" i="13"/>
  <c r="G198" i="13"/>
  <c r="A198" i="13"/>
  <c r="A239" i="13" s="1"/>
  <c r="A269" i="13" s="1"/>
  <c r="A296" i="13" s="1"/>
  <c r="A322" i="13" s="1"/>
  <c r="G197" i="13"/>
  <c r="A197" i="13"/>
  <c r="A238" i="13" s="1"/>
  <c r="A268" i="13" s="1"/>
  <c r="A295" i="13" s="1"/>
  <c r="A321" i="13" s="1"/>
  <c r="G196" i="13"/>
  <c r="A196" i="13"/>
  <c r="A237" i="13" s="1"/>
  <c r="A267" i="13" s="1"/>
  <c r="A294" i="13" s="1"/>
  <c r="A320" i="13" s="1"/>
  <c r="G195" i="13"/>
  <c r="A195" i="13"/>
  <c r="A236" i="13" s="1"/>
  <c r="A266" i="13" s="1"/>
  <c r="A293" i="13" s="1"/>
  <c r="A319" i="13" s="1"/>
  <c r="G194" i="13"/>
  <c r="A194" i="13"/>
  <c r="A235" i="13" s="1"/>
  <c r="A265" i="13" s="1"/>
  <c r="A292" i="13" s="1"/>
  <c r="A318" i="13" s="1"/>
  <c r="G193" i="13"/>
  <c r="A193" i="13"/>
  <c r="A234" i="13" s="1"/>
  <c r="A264" i="13" s="1"/>
  <c r="A291" i="13" s="1"/>
  <c r="A317" i="13" s="1"/>
  <c r="G192" i="13"/>
  <c r="A192" i="13"/>
  <c r="A233" i="13" s="1"/>
  <c r="A263" i="13" s="1"/>
  <c r="A290" i="13" s="1"/>
  <c r="A316" i="13" s="1"/>
  <c r="G191" i="13"/>
  <c r="G190" i="13"/>
  <c r="G189" i="13"/>
  <c r="A189" i="13"/>
  <c r="A230" i="13"/>
  <c r="A260" i="13"/>
  <c r="A287" i="13" s="1"/>
  <c r="A313" i="13" s="1"/>
  <c r="G188" i="13"/>
  <c r="A188" i="13"/>
  <c r="A229" i="13"/>
  <c r="A259" i="13" s="1"/>
  <c r="A286" i="13" s="1"/>
  <c r="A312" i="13" s="1"/>
  <c r="G187" i="13"/>
  <c r="A187" i="13"/>
  <c r="A228" i="13" s="1"/>
  <c r="A258" i="13" s="1"/>
  <c r="A285" i="13" s="1"/>
  <c r="A311" i="13" s="1"/>
  <c r="G186" i="13"/>
  <c r="A186" i="13"/>
  <c r="A227" i="13" s="1"/>
  <c r="A257" i="13" s="1"/>
  <c r="A284" i="13" s="1"/>
  <c r="A310" i="13" s="1"/>
  <c r="G185" i="13"/>
  <c r="A185" i="13"/>
  <c r="A226" i="13"/>
  <c r="A256" i="13"/>
  <c r="A283" i="13" s="1"/>
  <c r="A309" i="13" s="1"/>
  <c r="G184" i="13"/>
  <c r="A184" i="13"/>
  <c r="A225" i="13" s="1"/>
  <c r="A255" i="13" s="1"/>
  <c r="A282" i="13" s="1"/>
  <c r="A308" i="13" s="1"/>
  <c r="G183" i="13"/>
  <c r="G182" i="13"/>
  <c r="A182" i="13"/>
  <c r="A223" i="13" s="1"/>
  <c r="A253" i="13" s="1"/>
  <c r="A280" i="13" s="1"/>
  <c r="A306" i="13" s="1"/>
  <c r="G181" i="13"/>
  <c r="A181" i="13"/>
  <c r="A222" i="13"/>
  <c r="A252" i="13" s="1"/>
  <c r="A279" i="13" s="1"/>
  <c r="A305" i="13" s="1"/>
  <c r="G180" i="13"/>
  <c r="A180" i="13"/>
  <c r="A221" i="13"/>
  <c r="A251" i="13" s="1"/>
  <c r="A278" i="13" s="1"/>
  <c r="A304" i="13" s="1"/>
  <c r="G179" i="13"/>
  <c r="A179" i="13"/>
  <c r="A220" i="13" s="1"/>
  <c r="A250" i="13" s="1"/>
  <c r="A277" i="13" s="1"/>
  <c r="A303" i="13" s="1"/>
  <c r="G178" i="13"/>
  <c r="A178" i="13"/>
  <c r="A219" i="13" s="1"/>
  <c r="A249" i="13" s="1"/>
  <c r="A276" i="13" s="1"/>
  <c r="A302" i="13" s="1"/>
  <c r="G177" i="13"/>
  <c r="A177" i="13"/>
  <c r="A218" i="13"/>
  <c r="A248" i="13" s="1"/>
  <c r="A275" i="13" s="1"/>
  <c r="A301" i="13" s="1"/>
  <c r="C173" i="13"/>
  <c r="D173" i="13"/>
  <c r="B173" i="13"/>
  <c r="A173" i="13"/>
  <c r="C172" i="13"/>
  <c r="D172" i="13"/>
  <c r="B172" i="13"/>
  <c r="A172" i="13"/>
  <c r="C171" i="13"/>
  <c r="D171" i="13"/>
  <c r="B171" i="13"/>
  <c r="A171" i="13"/>
  <c r="C170" i="13"/>
  <c r="D170" i="13"/>
  <c r="B170" i="13"/>
  <c r="A170" i="13"/>
  <c r="C169" i="13"/>
  <c r="D169" i="13"/>
  <c r="B169" i="13"/>
  <c r="A169" i="13"/>
  <c r="C168" i="13"/>
  <c r="D168" i="13"/>
  <c r="B168" i="13"/>
  <c r="A168" i="13"/>
  <c r="C167" i="13"/>
  <c r="D167" i="13"/>
  <c r="B167" i="13"/>
  <c r="A167" i="13"/>
  <c r="C166" i="13"/>
  <c r="D166" i="13"/>
  <c r="B166" i="13"/>
  <c r="A166" i="13"/>
  <c r="C165" i="13"/>
  <c r="D165" i="13"/>
  <c r="B165" i="13"/>
  <c r="A165" i="13"/>
  <c r="C164" i="13"/>
  <c r="D164" i="13"/>
  <c r="B164" i="13"/>
  <c r="A164" i="13"/>
  <c r="C163" i="13"/>
  <c r="D163" i="13"/>
  <c r="B163" i="13"/>
  <c r="A163" i="13"/>
  <c r="C162" i="13"/>
  <c r="D162" i="13"/>
  <c r="B162" i="13"/>
  <c r="A162" i="13"/>
  <c r="B161" i="13"/>
  <c r="G160" i="13"/>
  <c r="F160" i="13"/>
  <c r="E160" i="13"/>
  <c r="D160" i="13"/>
  <c r="C160" i="13"/>
  <c r="B153" i="13"/>
  <c r="F153" i="13"/>
  <c r="E153" i="13"/>
  <c r="A153" i="13"/>
  <c r="B152" i="13"/>
  <c r="E152" i="13" s="1"/>
  <c r="F152" i="13"/>
  <c r="A152" i="13"/>
  <c r="B151" i="13"/>
  <c r="F151" i="13"/>
  <c r="E151" i="13"/>
  <c r="A151" i="13"/>
  <c r="B150" i="13"/>
  <c r="E150" i="13" s="1"/>
  <c r="F150" i="13"/>
  <c r="A150" i="13"/>
  <c r="B149" i="13"/>
  <c r="E149" i="13"/>
  <c r="A149" i="13"/>
  <c r="B148" i="13"/>
  <c r="F148" i="13"/>
  <c r="A148" i="13"/>
  <c r="B147" i="13"/>
  <c r="E147" i="13" s="1"/>
  <c r="A147" i="13"/>
  <c r="B146" i="13"/>
  <c r="F146" i="13" s="1"/>
  <c r="A146" i="13"/>
  <c r="B145" i="13"/>
  <c r="F145" i="13" s="1"/>
  <c r="E145" i="13"/>
  <c r="A145" i="13"/>
  <c r="B144" i="13"/>
  <c r="F144" i="13" s="1"/>
  <c r="E144" i="13"/>
  <c r="A144" i="13"/>
  <c r="B143" i="13"/>
  <c r="F143" i="13" s="1"/>
  <c r="E143" i="13"/>
  <c r="A143" i="13"/>
  <c r="B142" i="13"/>
  <c r="F142" i="13" s="1"/>
  <c r="A142" i="13"/>
  <c r="B141" i="13"/>
  <c r="E141" i="13" s="1"/>
  <c r="A141" i="13"/>
  <c r="B140" i="13"/>
  <c r="F140" i="13" s="1"/>
  <c r="A140" i="13"/>
  <c r="B139" i="13"/>
  <c r="E139" i="13"/>
  <c r="A139" i="13"/>
  <c r="B135" i="13"/>
  <c r="A135" i="13"/>
  <c r="B134" i="13"/>
  <c r="A134" i="13"/>
  <c r="B133" i="13"/>
  <c r="A133" i="13"/>
  <c r="B132" i="13"/>
  <c r="A132" i="13"/>
  <c r="B131" i="13"/>
  <c r="A131" i="13"/>
  <c r="B130" i="13"/>
  <c r="A130" i="13"/>
  <c r="B129" i="13"/>
  <c r="A129" i="13"/>
  <c r="B128" i="13"/>
  <c r="A128" i="13"/>
  <c r="B127" i="13"/>
  <c r="A127" i="13"/>
  <c r="B126" i="13"/>
  <c r="A126" i="13"/>
  <c r="B125" i="13"/>
  <c r="A125" i="13"/>
  <c r="B124" i="13"/>
  <c r="A124" i="13"/>
  <c r="B123" i="13"/>
  <c r="A123" i="13"/>
  <c r="B122" i="13"/>
  <c r="A122" i="13"/>
  <c r="B121" i="13"/>
  <c r="A121" i="13"/>
  <c r="G118" i="13"/>
  <c r="F118" i="13"/>
  <c r="E118" i="13"/>
  <c r="D118" i="13"/>
  <c r="C118" i="13"/>
  <c r="B118" i="13"/>
  <c r="A118" i="13"/>
  <c r="G117" i="13"/>
  <c r="F117" i="13"/>
  <c r="E117" i="13"/>
  <c r="D117" i="13"/>
  <c r="C117" i="13"/>
  <c r="D134" i="13"/>
  <c r="B117" i="13"/>
  <c r="A117" i="13"/>
  <c r="G116" i="13"/>
  <c r="F116" i="13"/>
  <c r="E116" i="13"/>
  <c r="D116" i="13"/>
  <c r="C116" i="13"/>
  <c r="B116" i="13"/>
  <c r="A116" i="13"/>
  <c r="G115" i="13"/>
  <c r="F115" i="13"/>
  <c r="E115" i="13"/>
  <c r="D115" i="13"/>
  <c r="C115" i="13"/>
  <c r="B115" i="13"/>
  <c r="A115" i="13"/>
  <c r="G114" i="13"/>
  <c r="F114" i="13"/>
  <c r="F149" i="13"/>
  <c r="E114" i="13"/>
  <c r="D114" i="13"/>
  <c r="C114" i="13"/>
  <c r="B114" i="13"/>
  <c r="A114" i="13"/>
  <c r="G113" i="13"/>
  <c r="F113" i="13"/>
  <c r="E113" i="13"/>
  <c r="E148" i="13"/>
  <c r="D113" i="13"/>
  <c r="C113" i="13"/>
  <c r="B113" i="13"/>
  <c r="A113" i="13"/>
  <c r="G112" i="13"/>
  <c r="F112" i="13"/>
  <c r="F147" i="13"/>
  <c r="E112" i="13"/>
  <c r="D112" i="13"/>
  <c r="C112" i="13"/>
  <c r="B112" i="13"/>
  <c r="A112" i="13"/>
  <c r="G111" i="13"/>
  <c r="F111" i="13"/>
  <c r="E111" i="13"/>
  <c r="E146" i="13"/>
  <c r="D111" i="13"/>
  <c r="C111" i="13"/>
  <c r="D128" i="13"/>
  <c r="B111" i="13"/>
  <c r="A111" i="13"/>
  <c r="G110" i="13"/>
  <c r="F110" i="13"/>
  <c r="E110" i="13"/>
  <c r="D110" i="13"/>
  <c r="C110" i="13"/>
  <c r="B110" i="13"/>
  <c r="A110" i="13"/>
  <c r="G109" i="13"/>
  <c r="F109" i="13"/>
  <c r="E109" i="13"/>
  <c r="D109" i="13"/>
  <c r="C109" i="13"/>
  <c r="D126" i="13"/>
  <c r="B109" i="13"/>
  <c r="A109" i="13"/>
  <c r="G108" i="13"/>
  <c r="F108" i="13"/>
  <c r="E108" i="13"/>
  <c r="D108" i="13"/>
  <c r="C108" i="13"/>
  <c r="B108" i="13"/>
  <c r="A108" i="13"/>
  <c r="G107" i="13"/>
  <c r="F107" i="13"/>
  <c r="E107" i="13"/>
  <c r="D107" i="13"/>
  <c r="C107" i="13"/>
  <c r="B107" i="13"/>
  <c r="A107" i="13"/>
  <c r="G106" i="13"/>
  <c r="F106" i="13"/>
  <c r="F141" i="13"/>
  <c r="E106" i="13"/>
  <c r="D106" i="13"/>
  <c r="C106" i="13"/>
  <c r="B106" i="13"/>
  <c r="A106" i="13"/>
  <c r="G105" i="13"/>
  <c r="F105" i="13"/>
  <c r="E105" i="13"/>
  <c r="E140" i="13"/>
  <c r="D105" i="13"/>
  <c r="C105" i="13"/>
  <c r="B105" i="13"/>
  <c r="A105" i="13"/>
  <c r="G104" i="13"/>
  <c r="F104" i="13"/>
  <c r="F139" i="13"/>
  <c r="E104" i="13"/>
  <c r="D104" i="13"/>
  <c r="C104" i="13"/>
  <c r="B104" i="13"/>
  <c r="A104" i="13"/>
  <c r="K91" i="13"/>
  <c r="J91" i="13"/>
  <c r="I91" i="13"/>
  <c r="H91" i="13"/>
  <c r="G91" i="13"/>
  <c r="F91" i="13"/>
  <c r="E91" i="13"/>
  <c r="D91" i="13"/>
  <c r="C91" i="13"/>
  <c r="B91" i="13"/>
  <c r="B15" i="13"/>
  <c r="B23" i="13" s="1"/>
  <c r="B3" i="13"/>
  <c r="B2" i="13"/>
  <c r="C1" i="13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187" i="9"/>
  <c r="A228" i="9" s="1"/>
  <c r="A258" i="9" s="1"/>
  <c r="A285" i="9" s="1"/>
  <c r="A311" i="9" s="1"/>
  <c r="L241" i="9"/>
  <c r="L240" i="9"/>
  <c r="H240" i="9"/>
  <c r="H270" i="9"/>
  <c r="L239" i="9"/>
  <c r="H239" i="9"/>
  <c r="H269" i="9" s="1"/>
  <c r="D239" i="9"/>
  <c r="D269" i="9" s="1"/>
  <c r="L238" i="9"/>
  <c r="D238" i="9" s="1"/>
  <c r="D268" i="9" s="1"/>
  <c r="L237" i="9"/>
  <c r="A196" i="9"/>
  <c r="A237" i="9" s="1"/>
  <c r="A267" i="9" s="1"/>
  <c r="A294" i="9" s="1"/>
  <c r="A320" i="9" s="1"/>
  <c r="L236" i="9"/>
  <c r="H236" i="9"/>
  <c r="H266" i="9" s="1"/>
  <c r="L235" i="9"/>
  <c r="H235" i="9" s="1"/>
  <c r="H265" i="9" s="1"/>
  <c r="L234" i="9"/>
  <c r="D234" i="9"/>
  <c r="D264" i="9" s="1"/>
  <c r="L233" i="9"/>
  <c r="L232" i="9"/>
  <c r="H232" i="9" s="1"/>
  <c r="H262" i="9" s="1"/>
  <c r="L231" i="9"/>
  <c r="H231" i="9" s="1"/>
  <c r="H261" i="9" s="1"/>
  <c r="L230" i="9"/>
  <c r="D230" i="9" s="1"/>
  <c r="D260" i="9" s="1"/>
  <c r="L229" i="9"/>
  <c r="A188" i="9"/>
  <c r="A229" i="9"/>
  <c r="A259" i="9" s="1"/>
  <c r="A286" i="9" s="1"/>
  <c r="A312" i="9" s="1"/>
  <c r="L228" i="9"/>
  <c r="H228" i="9" s="1"/>
  <c r="H258" i="9" s="1"/>
  <c r="L227" i="9"/>
  <c r="H227" i="9" s="1"/>
  <c r="H257" i="9" s="1"/>
  <c r="L226" i="9"/>
  <c r="D226" i="9" s="1"/>
  <c r="D256" i="9" s="1"/>
  <c r="L225" i="9"/>
  <c r="A184" i="9"/>
  <c r="A225" i="9"/>
  <c r="A255" i="9" s="1"/>
  <c r="A282" i="9" s="1"/>
  <c r="A308" i="9" s="1"/>
  <c r="L224" i="9"/>
  <c r="H224" i="9" s="1"/>
  <c r="H254" i="9" s="1"/>
  <c r="L223" i="9"/>
  <c r="D223" i="9" s="1"/>
  <c r="D253" i="9" s="1"/>
  <c r="L222" i="9"/>
  <c r="H222" i="9" s="1"/>
  <c r="H252" i="9" s="1"/>
  <c r="L221" i="9"/>
  <c r="L220" i="9"/>
  <c r="H220" i="9" s="1"/>
  <c r="H250" i="9" s="1"/>
  <c r="L219" i="9"/>
  <c r="H219" i="9" s="1"/>
  <c r="H249" i="9" s="1"/>
  <c r="L218" i="9"/>
  <c r="H218" i="9"/>
  <c r="H248" i="9" s="1"/>
  <c r="D218" i="9"/>
  <c r="D248" i="9" s="1"/>
  <c r="G200" i="9"/>
  <c r="A200" i="9"/>
  <c r="A241" i="9" s="1"/>
  <c r="A271" i="9" s="1"/>
  <c r="A298" i="9" s="1"/>
  <c r="A324" i="9" s="1"/>
  <c r="G199" i="9"/>
  <c r="A199" i="9"/>
  <c r="A240" i="9"/>
  <c r="A270" i="9" s="1"/>
  <c r="A297" i="9" s="1"/>
  <c r="A323" i="9" s="1"/>
  <c r="G198" i="9"/>
  <c r="A198" i="9"/>
  <c r="A239" i="9"/>
  <c r="A269" i="9" s="1"/>
  <c r="A296" i="9" s="1"/>
  <c r="A322" i="9" s="1"/>
  <c r="G197" i="9"/>
  <c r="A197" i="9"/>
  <c r="A238" i="9"/>
  <c r="A268" i="9" s="1"/>
  <c r="A295" i="9" s="1"/>
  <c r="A321" i="9" s="1"/>
  <c r="G196" i="9"/>
  <c r="G195" i="9"/>
  <c r="A195" i="9"/>
  <c r="A236" i="9"/>
  <c r="A266" i="9" s="1"/>
  <c r="A293" i="9" s="1"/>
  <c r="A319" i="9" s="1"/>
  <c r="G194" i="9"/>
  <c r="A194" i="9"/>
  <c r="A235" i="9" s="1"/>
  <c r="A265" i="9" s="1"/>
  <c r="A292" i="9" s="1"/>
  <c r="A318" i="9" s="1"/>
  <c r="G193" i="9"/>
  <c r="A193" i="9"/>
  <c r="A234" i="9" s="1"/>
  <c r="A264" i="9" s="1"/>
  <c r="A291" i="9" s="1"/>
  <c r="A317" i="9" s="1"/>
  <c r="G192" i="9"/>
  <c r="A192" i="9"/>
  <c r="A233" i="9" s="1"/>
  <c r="A263" i="9" s="1"/>
  <c r="A290" i="9" s="1"/>
  <c r="A316" i="9" s="1"/>
  <c r="G191" i="9"/>
  <c r="A191" i="9"/>
  <c r="A232" i="9"/>
  <c r="A262" i="9" s="1"/>
  <c r="A289" i="9" s="1"/>
  <c r="A315" i="9" s="1"/>
  <c r="G190" i="9"/>
  <c r="A190" i="9"/>
  <c r="A231" i="9"/>
  <c r="A261" i="9" s="1"/>
  <c r="A288" i="9" s="1"/>
  <c r="A314" i="9" s="1"/>
  <c r="G189" i="9"/>
  <c r="A189" i="9"/>
  <c r="A230" i="9" s="1"/>
  <c r="A260" i="9" s="1"/>
  <c r="A287" i="9" s="1"/>
  <c r="A313" i="9" s="1"/>
  <c r="G188" i="9"/>
  <c r="G187" i="9"/>
  <c r="G186" i="9"/>
  <c r="A186" i="9"/>
  <c r="A227" i="9" s="1"/>
  <c r="A257" i="9" s="1"/>
  <c r="A284" i="9" s="1"/>
  <c r="A310" i="9" s="1"/>
  <c r="G185" i="9"/>
  <c r="A185" i="9"/>
  <c r="A226" i="9" s="1"/>
  <c r="A256" i="9" s="1"/>
  <c r="A283" i="9" s="1"/>
  <c r="A309" i="9" s="1"/>
  <c r="G184" i="9"/>
  <c r="G183" i="9"/>
  <c r="A183" i="9"/>
  <c r="A224" i="9" s="1"/>
  <c r="A254" i="9" s="1"/>
  <c r="A281" i="9" s="1"/>
  <c r="A307" i="9" s="1"/>
  <c r="G182" i="9"/>
  <c r="A182" i="9"/>
  <c r="A223" i="9" s="1"/>
  <c r="A253" i="9" s="1"/>
  <c r="A280" i="9" s="1"/>
  <c r="A306" i="9" s="1"/>
  <c r="G181" i="9"/>
  <c r="A181" i="9"/>
  <c r="A222" i="9"/>
  <c r="A252" i="9" s="1"/>
  <c r="A279" i="9" s="1"/>
  <c r="A305" i="9" s="1"/>
  <c r="G180" i="9"/>
  <c r="A180" i="9"/>
  <c r="A221" i="9" s="1"/>
  <c r="A251" i="9" s="1"/>
  <c r="A278" i="9" s="1"/>
  <c r="A304" i="9" s="1"/>
  <c r="G179" i="9"/>
  <c r="A179" i="9"/>
  <c r="A220" i="9" s="1"/>
  <c r="A250" i="9" s="1"/>
  <c r="A277" i="9" s="1"/>
  <c r="A303" i="9" s="1"/>
  <c r="G178" i="9"/>
  <c r="A178" i="9"/>
  <c r="A219" i="9"/>
  <c r="A249" i="9" s="1"/>
  <c r="A276" i="9" s="1"/>
  <c r="A302" i="9" s="1"/>
  <c r="G177" i="9"/>
  <c r="A177" i="9"/>
  <c r="A218" i="9" s="1"/>
  <c r="A248" i="9" s="1"/>
  <c r="A275" i="9" s="1"/>
  <c r="A301" i="9" s="1"/>
  <c r="C173" i="9"/>
  <c r="D173" i="9"/>
  <c r="B173" i="9"/>
  <c r="A173" i="9"/>
  <c r="C172" i="9"/>
  <c r="D172" i="9"/>
  <c r="B172" i="9"/>
  <c r="A172" i="9"/>
  <c r="C171" i="9"/>
  <c r="D171" i="9"/>
  <c r="B171" i="9"/>
  <c r="A171" i="9"/>
  <c r="C170" i="9"/>
  <c r="D170" i="9"/>
  <c r="B170" i="9"/>
  <c r="A170" i="9"/>
  <c r="C169" i="9"/>
  <c r="D169" i="9"/>
  <c r="B169" i="9"/>
  <c r="A169" i="9"/>
  <c r="C168" i="9"/>
  <c r="D168" i="9"/>
  <c r="B168" i="9"/>
  <c r="A168" i="9"/>
  <c r="C167" i="9"/>
  <c r="D167" i="9"/>
  <c r="B167" i="9"/>
  <c r="A167" i="9"/>
  <c r="C166" i="9"/>
  <c r="D166" i="9"/>
  <c r="B166" i="9"/>
  <c r="A166" i="9"/>
  <c r="C165" i="9"/>
  <c r="D165" i="9"/>
  <c r="B165" i="9"/>
  <c r="A165" i="9"/>
  <c r="C164" i="9"/>
  <c r="D164" i="9"/>
  <c r="B164" i="9"/>
  <c r="A164" i="9"/>
  <c r="C163" i="9"/>
  <c r="D163" i="9"/>
  <c r="B163" i="9"/>
  <c r="A163" i="9"/>
  <c r="C162" i="9"/>
  <c r="D162" i="9"/>
  <c r="B162" i="9"/>
  <c r="A162" i="9"/>
  <c r="B161" i="9"/>
  <c r="G160" i="9"/>
  <c r="F160" i="9"/>
  <c r="E160" i="9"/>
  <c r="D160" i="9"/>
  <c r="C160" i="9"/>
  <c r="B153" i="9"/>
  <c r="A153" i="9"/>
  <c r="B152" i="9"/>
  <c r="F152" i="9"/>
  <c r="A152" i="9"/>
  <c r="B151" i="9"/>
  <c r="F151" i="9"/>
  <c r="A151" i="9"/>
  <c r="B150" i="9"/>
  <c r="A150" i="9"/>
  <c r="B149" i="9"/>
  <c r="A149" i="9"/>
  <c r="B148" i="9"/>
  <c r="A148" i="9"/>
  <c r="B147" i="9"/>
  <c r="F147" i="9" s="1"/>
  <c r="A147" i="9"/>
  <c r="B146" i="9"/>
  <c r="F146" i="9"/>
  <c r="A146" i="9"/>
  <c r="B145" i="9"/>
  <c r="A145" i="9"/>
  <c r="B144" i="9"/>
  <c r="F144" i="9" s="1"/>
  <c r="A144" i="9"/>
  <c r="B143" i="9"/>
  <c r="F143" i="9"/>
  <c r="A143" i="9"/>
  <c r="B142" i="9"/>
  <c r="C142" i="9" s="1"/>
  <c r="A142" i="9"/>
  <c r="B141" i="9"/>
  <c r="G141" i="9" s="1"/>
  <c r="A141" i="9"/>
  <c r="B140" i="9"/>
  <c r="A140" i="9"/>
  <c r="B139" i="9"/>
  <c r="A139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B125" i="9"/>
  <c r="A125" i="9"/>
  <c r="B124" i="9"/>
  <c r="A124" i="9"/>
  <c r="B123" i="9"/>
  <c r="A123" i="9"/>
  <c r="B122" i="9"/>
  <c r="A122" i="9"/>
  <c r="B121" i="9"/>
  <c r="A121" i="9"/>
  <c r="G118" i="9"/>
  <c r="F118" i="9"/>
  <c r="E118" i="9"/>
  <c r="D118" i="9"/>
  <c r="C118" i="9"/>
  <c r="B118" i="9"/>
  <c r="C135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C150" i="9"/>
  <c r="B115" i="9"/>
  <c r="A115" i="9"/>
  <c r="G114" i="9"/>
  <c r="G149" i="9"/>
  <c r="F114" i="9"/>
  <c r="E114" i="9"/>
  <c r="D114" i="9"/>
  <c r="C114" i="9"/>
  <c r="B114" i="9"/>
  <c r="A114" i="9"/>
  <c r="G113" i="9"/>
  <c r="F113" i="9"/>
  <c r="F148" i="9"/>
  <c r="E113" i="9"/>
  <c r="D113" i="9"/>
  <c r="C113" i="9"/>
  <c r="B113" i="9"/>
  <c r="A113" i="9"/>
  <c r="G112" i="9"/>
  <c r="F112" i="9"/>
  <c r="E112" i="9"/>
  <c r="D112" i="9"/>
  <c r="C112" i="9"/>
  <c r="C147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F140" i="9"/>
  <c r="E105" i="9"/>
  <c r="D105" i="9"/>
  <c r="C105" i="9"/>
  <c r="B105" i="9"/>
  <c r="A105" i="9"/>
  <c r="G104" i="9"/>
  <c r="F104" i="9"/>
  <c r="F139" i="9"/>
  <c r="E104" i="9"/>
  <c r="D104" i="9"/>
  <c r="C104" i="9"/>
  <c r="C139" i="9"/>
  <c r="B104" i="9"/>
  <c r="A104" i="9"/>
  <c r="K91" i="9"/>
  <c r="J91" i="9"/>
  <c r="I91" i="9"/>
  <c r="H91" i="9"/>
  <c r="G91" i="9"/>
  <c r="F91" i="9"/>
  <c r="E91" i="9"/>
  <c r="D91" i="9"/>
  <c r="C91" i="9"/>
  <c r="B91" i="9"/>
  <c r="B4" i="9"/>
  <c r="S136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4" i="6"/>
  <c r="S113" i="6"/>
  <c r="S112" i="6"/>
  <c r="S111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0" i="6"/>
  <c r="S69" i="6"/>
  <c r="S68" i="6"/>
  <c r="S67" i="6"/>
  <c r="S66" i="6"/>
  <c r="S65" i="6"/>
  <c r="S64" i="6"/>
  <c r="S63" i="6"/>
  <c r="S73" i="6"/>
  <c r="L58" i="6"/>
  <c r="J58" i="6"/>
  <c r="H58" i="6"/>
  <c r="F58" i="6"/>
  <c r="E58" i="6"/>
  <c r="B58" i="6"/>
  <c r="L57" i="6"/>
  <c r="J57" i="6"/>
  <c r="H57" i="6"/>
  <c r="F57" i="6"/>
  <c r="E57" i="6"/>
  <c r="B57" i="6"/>
  <c r="L56" i="6"/>
  <c r="J56" i="6"/>
  <c r="H56" i="6"/>
  <c r="F56" i="6"/>
  <c r="E56" i="6"/>
  <c r="B56" i="6"/>
  <c r="L55" i="6"/>
  <c r="J55" i="6"/>
  <c r="H55" i="6"/>
  <c r="F55" i="6"/>
  <c r="E55" i="6"/>
  <c r="B55" i="6"/>
  <c r="L54" i="6"/>
  <c r="J54" i="6"/>
  <c r="H54" i="6"/>
  <c r="F54" i="6"/>
  <c r="E54" i="6"/>
  <c r="B54" i="6"/>
  <c r="L53" i="6"/>
  <c r="J53" i="6"/>
  <c r="H53" i="6"/>
  <c r="F53" i="6"/>
  <c r="E53" i="6"/>
  <c r="B53" i="6"/>
  <c r="L52" i="6"/>
  <c r="J52" i="6"/>
  <c r="H52" i="6"/>
  <c r="F52" i="6"/>
  <c r="E52" i="6"/>
  <c r="B52" i="6"/>
  <c r="L51" i="6"/>
  <c r="J51" i="6"/>
  <c r="H51" i="6"/>
  <c r="F51" i="6"/>
  <c r="E51" i="6"/>
  <c r="B51" i="6"/>
  <c r="L50" i="6"/>
  <c r="J50" i="6"/>
  <c r="H50" i="6"/>
  <c r="F50" i="6"/>
  <c r="E50" i="6"/>
  <c r="B50" i="6"/>
  <c r="L49" i="6"/>
  <c r="J49" i="6"/>
  <c r="H49" i="6"/>
  <c r="F49" i="6"/>
  <c r="E49" i="6"/>
  <c r="B49" i="6"/>
  <c r="L48" i="6"/>
  <c r="J48" i="6"/>
  <c r="H48" i="6"/>
  <c r="F48" i="6"/>
  <c r="E48" i="6"/>
  <c r="B48" i="6"/>
  <c r="L47" i="6"/>
  <c r="J47" i="6"/>
  <c r="H47" i="6"/>
  <c r="F47" i="6"/>
  <c r="E47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R34" i="6"/>
  <c r="Q34" i="6"/>
  <c r="P34" i="6"/>
  <c r="O34" i="6"/>
  <c r="N34" i="6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197" i="5"/>
  <c r="A238" i="5"/>
  <c r="A268" i="5" s="1"/>
  <c r="A295" i="5" s="1"/>
  <c r="A321" i="5" s="1"/>
  <c r="L241" i="5"/>
  <c r="H241" i="5" s="1"/>
  <c r="H271" i="5" s="1"/>
  <c r="L240" i="5"/>
  <c r="H240" i="5"/>
  <c r="H270" i="5" s="1"/>
  <c r="J240" i="5"/>
  <c r="J270" i="5" s="1"/>
  <c r="B240" i="5"/>
  <c r="B270" i="5" s="1"/>
  <c r="L239" i="5"/>
  <c r="F239" i="5" s="1"/>
  <c r="F269" i="5" s="1"/>
  <c r="L238" i="5"/>
  <c r="D238" i="5"/>
  <c r="D268" i="5" s="1"/>
  <c r="J238" i="5"/>
  <c r="J268" i="5" s="1"/>
  <c r="H238" i="5"/>
  <c r="H268" i="5" s="1"/>
  <c r="F238" i="5"/>
  <c r="F268" i="5" s="1"/>
  <c r="B238" i="5"/>
  <c r="B268" i="5" s="1"/>
  <c r="L237" i="5"/>
  <c r="F237" i="5" s="1"/>
  <c r="F267" i="5" s="1"/>
  <c r="L236" i="5"/>
  <c r="J236" i="5"/>
  <c r="J266" i="5" s="1"/>
  <c r="L235" i="5"/>
  <c r="J235" i="5" s="1"/>
  <c r="J265" i="5" s="1"/>
  <c r="L234" i="5"/>
  <c r="J234" i="5"/>
  <c r="J264" i="5" s="1"/>
  <c r="H234" i="5"/>
  <c r="H264" i="5" s="1"/>
  <c r="D234" i="5"/>
  <c r="D264" i="5" s="1"/>
  <c r="L233" i="5"/>
  <c r="D233" i="5" s="1"/>
  <c r="D263" i="5" s="1"/>
  <c r="L232" i="5"/>
  <c r="J232" i="5"/>
  <c r="J262" i="5" s="1"/>
  <c r="H232" i="5"/>
  <c r="H262" i="5" s="1"/>
  <c r="D232" i="5"/>
  <c r="D262" i="5" s="1"/>
  <c r="L231" i="5"/>
  <c r="J231" i="5" s="1"/>
  <c r="J261" i="5" s="1"/>
  <c r="L230" i="5"/>
  <c r="J230" i="5"/>
  <c r="J260" i="5" s="1"/>
  <c r="L229" i="5"/>
  <c r="L228" i="5"/>
  <c r="D228" i="5"/>
  <c r="D258" i="5" s="1"/>
  <c r="H228" i="5"/>
  <c r="H258" i="5" s="1"/>
  <c r="L227" i="5"/>
  <c r="L226" i="5"/>
  <c r="H226" i="5"/>
  <c r="H256" i="5" s="1"/>
  <c r="L225" i="5"/>
  <c r="L224" i="5"/>
  <c r="H224" i="5"/>
  <c r="H254" i="5" s="1"/>
  <c r="D224" i="5"/>
  <c r="D254" i="5" s="1"/>
  <c r="L223" i="5"/>
  <c r="D223" i="5" s="1"/>
  <c r="D253" i="5" s="1"/>
  <c r="L222" i="5"/>
  <c r="H222" i="5"/>
  <c r="H252" i="5" s="1"/>
  <c r="L221" i="5"/>
  <c r="D221" i="5" s="1"/>
  <c r="D251" i="5" s="1"/>
  <c r="L220" i="5"/>
  <c r="D220" i="5"/>
  <c r="D250" i="5" s="1"/>
  <c r="H220" i="5"/>
  <c r="H250" i="5" s="1"/>
  <c r="L219" i="5"/>
  <c r="L218" i="5"/>
  <c r="H218" i="5"/>
  <c r="H248" i="5" s="1"/>
  <c r="G200" i="5"/>
  <c r="A200" i="5"/>
  <c r="A241" i="5"/>
  <c r="A271" i="5" s="1"/>
  <c r="A298" i="5" s="1"/>
  <c r="A324" i="5" s="1"/>
  <c r="G199" i="5"/>
  <c r="A199" i="5"/>
  <c r="A240" i="5"/>
  <c r="A270" i="5" s="1"/>
  <c r="A297" i="5" s="1"/>
  <c r="A323" i="5" s="1"/>
  <c r="G198" i="5"/>
  <c r="A198" i="5"/>
  <c r="A239" i="5"/>
  <c r="A269" i="5" s="1"/>
  <c r="A296" i="5" s="1"/>
  <c r="A322" i="5" s="1"/>
  <c r="G197" i="5"/>
  <c r="G196" i="5"/>
  <c r="A196" i="5"/>
  <c r="A237" i="5" s="1"/>
  <c r="A267" i="5" s="1"/>
  <c r="A294" i="5" s="1"/>
  <c r="A320" i="5" s="1"/>
  <c r="G195" i="5"/>
  <c r="A195" i="5"/>
  <c r="A236" i="5" s="1"/>
  <c r="A266" i="5" s="1"/>
  <c r="A293" i="5" s="1"/>
  <c r="A319" i="5" s="1"/>
  <c r="G194" i="5"/>
  <c r="A194" i="5"/>
  <c r="A235" i="5" s="1"/>
  <c r="A265" i="5" s="1"/>
  <c r="A292" i="5" s="1"/>
  <c r="A318" i="5" s="1"/>
  <c r="G193" i="5"/>
  <c r="A193" i="5"/>
  <c r="A234" i="5" s="1"/>
  <c r="A264" i="5" s="1"/>
  <c r="A291" i="5" s="1"/>
  <c r="A317" i="5" s="1"/>
  <c r="G192" i="5"/>
  <c r="A192" i="5"/>
  <c r="A233" i="5" s="1"/>
  <c r="A263" i="5" s="1"/>
  <c r="A290" i="5" s="1"/>
  <c r="A316" i="5" s="1"/>
  <c r="G191" i="5"/>
  <c r="A191" i="5"/>
  <c r="A232" i="5" s="1"/>
  <c r="A262" i="5" s="1"/>
  <c r="A289" i="5" s="1"/>
  <c r="A315" i="5" s="1"/>
  <c r="G190" i="5"/>
  <c r="A190" i="5"/>
  <c r="A231" i="5" s="1"/>
  <c r="A261" i="5" s="1"/>
  <c r="A288" i="5" s="1"/>
  <c r="A314" i="5" s="1"/>
  <c r="G189" i="5"/>
  <c r="A189" i="5"/>
  <c r="A230" i="5" s="1"/>
  <c r="A260" i="5" s="1"/>
  <c r="A287" i="5" s="1"/>
  <c r="A313" i="5" s="1"/>
  <c r="G188" i="5"/>
  <c r="A188" i="5"/>
  <c r="A229" i="5" s="1"/>
  <c r="A259" i="5" s="1"/>
  <c r="A286" i="5" s="1"/>
  <c r="A312" i="5" s="1"/>
  <c r="G187" i="5"/>
  <c r="A187" i="5"/>
  <c r="A228" i="5" s="1"/>
  <c r="A258" i="5" s="1"/>
  <c r="A285" i="5" s="1"/>
  <c r="A311" i="5" s="1"/>
  <c r="G186" i="5"/>
  <c r="A186" i="5"/>
  <c r="A227" i="5" s="1"/>
  <c r="A257" i="5" s="1"/>
  <c r="A284" i="5" s="1"/>
  <c r="A310" i="5" s="1"/>
  <c r="G185" i="5"/>
  <c r="A185" i="5"/>
  <c r="A226" i="5" s="1"/>
  <c r="A256" i="5" s="1"/>
  <c r="A283" i="5" s="1"/>
  <c r="A309" i="5" s="1"/>
  <c r="G184" i="5"/>
  <c r="A184" i="5"/>
  <c r="A225" i="5" s="1"/>
  <c r="A255" i="5" s="1"/>
  <c r="A282" i="5" s="1"/>
  <c r="A308" i="5" s="1"/>
  <c r="G183" i="5"/>
  <c r="A183" i="5"/>
  <c r="A224" i="5" s="1"/>
  <c r="A254" i="5" s="1"/>
  <c r="A281" i="5" s="1"/>
  <c r="A307" i="5" s="1"/>
  <c r="G182" i="5"/>
  <c r="A182" i="5"/>
  <c r="A223" i="5" s="1"/>
  <c r="A253" i="5" s="1"/>
  <c r="A280" i="5" s="1"/>
  <c r="A306" i="5" s="1"/>
  <c r="G181" i="5"/>
  <c r="A181" i="5"/>
  <c r="A222" i="5" s="1"/>
  <c r="A252" i="5" s="1"/>
  <c r="A279" i="5" s="1"/>
  <c r="A305" i="5" s="1"/>
  <c r="G180" i="5"/>
  <c r="A180" i="5"/>
  <c r="A221" i="5" s="1"/>
  <c r="A251" i="5" s="1"/>
  <c r="A278" i="5" s="1"/>
  <c r="A304" i="5" s="1"/>
  <c r="G179" i="5"/>
  <c r="A179" i="5"/>
  <c r="A220" i="5" s="1"/>
  <c r="A250" i="5" s="1"/>
  <c r="A277" i="5" s="1"/>
  <c r="A303" i="5" s="1"/>
  <c r="G178" i="5"/>
  <c r="A178" i="5"/>
  <c r="A219" i="5" s="1"/>
  <c r="A249" i="5" s="1"/>
  <c r="A276" i="5" s="1"/>
  <c r="A302" i="5" s="1"/>
  <c r="G177" i="5"/>
  <c r="A177" i="5"/>
  <c r="A218" i="5" s="1"/>
  <c r="A248" i="5" s="1"/>
  <c r="A275" i="5" s="1"/>
  <c r="A301" i="5" s="1"/>
  <c r="A173" i="5"/>
  <c r="A172" i="5"/>
  <c r="A171" i="5"/>
  <c r="A170" i="5"/>
  <c r="A169" i="5"/>
  <c r="A168" i="5"/>
  <c r="A167" i="5"/>
  <c r="A166" i="5"/>
  <c r="A165" i="5"/>
  <c r="A164" i="5"/>
  <c r="A163" i="5"/>
  <c r="A162" i="5"/>
  <c r="B161" i="5"/>
  <c r="G160" i="5"/>
  <c r="F160" i="5"/>
  <c r="E160" i="5"/>
  <c r="D160" i="5"/>
  <c r="C160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5" i="5"/>
  <c r="A135" i="5"/>
  <c r="B134" i="5"/>
  <c r="A134" i="5"/>
  <c r="B133" i="5"/>
  <c r="A133" i="5"/>
  <c r="B132" i="5"/>
  <c r="C115" i="5"/>
  <c r="D115" i="5"/>
  <c r="D132" i="5"/>
  <c r="A132" i="5"/>
  <c r="B131" i="5"/>
  <c r="A131" i="5"/>
  <c r="B130" i="5"/>
  <c r="A130" i="5"/>
  <c r="B129" i="5"/>
  <c r="A129" i="5"/>
  <c r="B128" i="5"/>
  <c r="D128" i="5" s="1"/>
  <c r="C111" i="5"/>
  <c r="D111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G118" i="5"/>
  <c r="F118" i="5"/>
  <c r="E118" i="5"/>
  <c r="D118" i="5"/>
  <c r="C118" i="5"/>
  <c r="B118" i="5"/>
  <c r="C135" i="5"/>
  <c r="A118" i="5"/>
  <c r="G117" i="5"/>
  <c r="F117" i="5"/>
  <c r="E117" i="5"/>
  <c r="D117" i="5"/>
  <c r="C117" i="5"/>
  <c r="B117" i="5"/>
  <c r="C134" i="5"/>
  <c r="A117" i="5"/>
  <c r="G116" i="5"/>
  <c r="F116" i="5"/>
  <c r="E116" i="5"/>
  <c r="D116" i="5"/>
  <c r="C116" i="5"/>
  <c r="B116" i="5"/>
  <c r="C133" i="5"/>
  <c r="A116" i="5"/>
  <c r="G115" i="5"/>
  <c r="F115" i="5"/>
  <c r="F150" i="5"/>
  <c r="E115" i="5"/>
  <c r="D150" i="5"/>
  <c r="B115" i="5"/>
  <c r="A115" i="5"/>
  <c r="G114" i="5"/>
  <c r="F114" i="5"/>
  <c r="C114" i="5"/>
  <c r="D114" i="5"/>
  <c r="E114" i="5"/>
  <c r="F131" i="5"/>
  <c r="B114" i="5"/>
  <c r="A114" i="5"/>
  <c r="G113" i="5"/>
  <c r="F113" i="5"/>
  <c r="E113" i="5"/>
  <c r="D113" i="5"/>
  <c r="C113" i="5"/>
  <c r="F130" i="5"/>
  <c r="B113" i="5"/>
  <c r="C130" i="5" s="1"/>
  <c r="A113" i="5"/>
  <c r="G112" i="5"/>
  <c r="F112" i="5"/>
  <c r="E112" i="5"/>
  <c r="D112" i="5"/>
  <c r="C112" i="5"/>
  <c r="B112" i="5"/>
  <c r="A112" i="5"/>
  <c r="G111" i="5"/>
  <c r="F111" i="5"/>
  <c r="F146" i="5"/>
  <c r="E111" i="5"/>
  <c r="D146" i="5"/>
  <c r="B111" i="5"/>
  <c r="C128" i="5" s="1"/>
  <c r="A111" i="5"/>
  <c r="G110" i="5"/>
  <c r="F110" i="5"/>
  <c r="E110" i="5"/>
  <c r="D110" i="5"/>
  <c r="C110" i="5"/>
  <c r="B110" i="5"/>
  <c r="C127" i="5" s="1"/>
  <c r="A110" i="5"/>
  <c r="G109" i="5"/>
  <c r="F109" i="5"/>
  <c r="E109" i="5"/>
  <c r="D109" i="5"/>
  <c r="C109" i="5"/>
  <c r="B109" i="5"/>
  <c r="C126" i="5" s="1"/>
  <c r="A109" i="5"/>
  <c r="G108" i="5"/>
  <c r="F108" i="5"/>
  <c r="E108" i="5"/>
  <c r="D108" i="5"/>
  <c r="C108" i="5"/>
  <c r="B108" i="5"/>
  <c r="C125" i="5" s="1"/>
  <c r="A108" i="5"/>
  <c r="G107" i="5"/>
  <c r="F107" i="5"/>
  <c r="F142" i="5"/>
  <c r="E107" i="5"/>
  <c r="D107" i="5"/>
  <c r="D142" i="5"/>
  <c r="C107" i="5"/>
  <c r="B107" i="5"/>
  <c r="C124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F122" i="5"/>
  <c r="B105" i="5"/>
  <c r="C122" i="5" s="1"/>
  <c r="A105" i="5"/>
  <c r="G104" i="5"/>
  <c r="F104" i="5"/>
  <c r="E104" i="5"/>
  <c r="D104" i="5"/>
  <c r="C104" i="5"/>
  <c r="A104" i="5"/>
  <c r="K91" i="5"/>
  <c r="J91" i="5"/>
  <c r="I91" i="5"/>
  <c r="H91" i="5"/>
  <c r="G91" i="5"/>
  <c r="F91" i="5"/>
  <c r="E91" i="5"/>
  <c r="D91" i="5"/>
  <c r="C91" i="5"/>
  <c r="B91" i="5"/>
  <c r="E208" i="5"/>
  <c r="H106" i="5"/>
  <c r="F143" i="5"/>
  <c r="C129" i="5"/>
  <c r="H114" i="5"/>
  <c r="F151" i="5"/>
  <c r="F132" i="5"/>
  <c r="D231" i="5"/>
  <c r="D261" i="5" s="1"/>
  <c r="H236" i="5"/>
  <c r="H266" i="5" s="1"/>
  <c r="H239" i="5"/>
  <c r="H269" i="5" s="1"/>
  <c r="E122" i="9"/>
  <c r="E130" i="9"/>
  <c r="C148" i="9"/>
  <c r="H223" i="9"/>
  <c r="H253" i="9" s="1"/>
  <c r="D227" i="9"/>
  <c r="D257" i="9"/>
  <c r="D122" i="13"/>
  <c r="D130" i="13"/>
  <c r="F230" i="13"/>
  <c r="F260" i="13"/>
  <c r="H231" i="13"/>
  <c r="H261" i="13" s="1"/>
  <c r="H233" i="13"/>
  <c r="H263" i="13"/>
  <c r="B236" i="13"/>
  <c r="B266" i="13" s="1"/>
  <c r="H237" i="13"/>
  <c r="H267" i="13"/>
  <c r="F240" i="13"/>
  <c r="F270" i="13" s="1"/>
  <c r="G122" i="17"/>
  <c r="F229" i="21"/>
  <c r="F259" i="21" s="1"/>
  <c r="D229" i="21"/>
  <c r="D259" i="21" s="1"/>
  <c r="H223" i="29"/>
  <c r="H253" i="29"/>
  <c r="B223" i="29"/>
  <c r="B253" i="29" s="1"/>
  <c r="H231" i="5"/>
  <c r="H261" i="5" s="1"/>
  <c r="J239" i="5"/>
  <c r="J269" i="5" s="1"/>
  <c r="E121" i="9"/>
  <c r="E129" i="9"/>
  <c r="H160" i="9"/>
  <c r="H104" i="13"/>
  <c r="G129" i="13"/>
  <c r="F221" i="13"/>
  <c r="F251" i="13"/>
  <c r="H228" i="13"/>
  <c r="H258" i="13"/>
  <c r="J233" i="13"/>
  <c r="J263" i="13" s="1"/>
  <c r="D236" i="13"/>
  <c r="D266" i="13"/>
  <c r="J237" i="13"/>
  <c r="J267" i="13" s="1"/>
  <c r="J240" i="13"/>
  <c r="J270" i="13"/>
  <c r="F140" i="5"/>
  <c r="F144" i="5"/>
  <c r="F148" i="5"/>
  <c r="F152" i="5"/>
  <c r="E127" i="9"/>
  <c r="E135" i="9"/>
  <c r="C146" i="9"/>
  <c r="H110" i="13"/>
  <c r="C135" i="13"/>
  <c r="H160" i="13"/>
  <c r="J236" i="13"/>
  <c r="J266" i="13"/>
  <c r="D238" i="13"/>
  <c r="D268" i="13" s="1"/>
  <c r="B241" i="13"/>
  <c r="B271" i="13" s="1"/>
  <c r="G124" i="17"/>
  <c r="G134" i="17"/>
  <c r="D141" i="17"/>
  <c r="E141" i="17"/>
  <c r="H239" i="25"/>
  <c r="H269" i="25" s="1"/>
  <c r="D239" i="25"/>
  <c r="D269" i="25"/>
  <c r="H104" i="5"/>
  <c r="H112" i="5"/>
  <c r="F139" i="5"/>
  <c r="H110" i="5"/>
  <c r="F147" i="5"/>
  <c r="H118" i="5"/>
  <c r="D235" i="5"/>
  <c r="D265" i="5" s="1"/>
  <c r="D240" i="5"/>
  <c r="D270" i="5" s="1"/>
  <c r="C143" i="9"/>
  <c r="E126" i="9"/>
  <c r="C151" i="9"/>
  <c r="E134" i="9"/>
  <c r="D149" i="17"/>
  <c r="E149" i="17"/>
  <c r="H223" i="17"/>
  <c r="H253" i="17" s="1"/>
  <c r="D223" i="17"/>
  <c r="D253" i="17"/>
  <c r="F126" i="5"/>
  <c r="C132" i="5"/>
  <c r="F134" i="5"/>
  <c r="D230" i="5"/>
  <c r="D260" i="5" s="1"/>
  <c r="H235" i="5"/>
  <c r="H265" i="5" s="1"/>
  <c r="H237" i="5"/>
  <c r="H267" i="5" s="1"/>
  <c r="B239" i="5"/>
  <c r="B269" i="5" s="1"/>
  <c r="F240" i="5"/>
  <c r="F270" i="5" s="1"/>
  <c r="S108" i="6"/>
  <c r="E125" i="9"/>
  <c r="E133" i="9"/>
  <c r="D219" i="9"/>
  <c r="D249" i="9"/>
  <c r="H108" i="13"/>
  <c r="G133" i="13"/>
  <c r="B231" i="13"/>
  <c r="B261" i="13" s="1"/>
  <c r="B233" i="13"/>
  <c r="B263" i="13"/>
  <c r="F235" i="13"/>
  <c r="F265" i="13"/>
  <c r="B237" i="13"/>
  <c r="B267" i="13"/>
  <c r="F241" i="13"/>
  <c r="F271" i="13" s="1"/>
  <c r="H224" i="25"/>
  <c r="H254" i="25"/>
  <c r="D224" i="25"/>
  <c r="D254" i="25" s="1"/>
  <c r="J237" i="29"/>
  <c r="J267" i="29"/>
  <c r="H237" i="29"/>
  <c r="H267" i="29" s="1"/>
  <c r="F237" i="29"/>
  <c r="F267" i="29"/>
  <c r="D237" i="29"/>
  <c r="D267" i="29" s="1"/>
  <c r="B237" i="29"/>
  <c r="B267" i="29" s="1"/>
  <c r="H240" i="29"/>
  <c r="H270" i="29" s="1"/>
  <c r="J240" i="29"/>
  <c r="J270" i="29" s="1"/>
  <c r="F240" i="29"/>
  <c r="F270" i="29" s="1"/>
  <c r="D240" i="29"/>
  <c r="D270" i="29" s="1"/>
  <c r="B240" i="29"/>
  <c r="B270" i="29" s="1"/>
  <c r="C123" i="5"/>
  <c r="H108" i="5"/>
  <c r="C131" i="5"/>
  <c r="H116" i="5"/>
  <c r="F135" i="5"/>
  <c r="H230" i="5"/>
  <c r="H260" i="5" s="1"/>
  <c r="D239" i="5"/>
  <c r="D269" i="5" s="1"/>
  <c r="F150" i="9"/>
  <c r="D124" i="13"/>
  <c r="D132" i="13"/>
  <c r="F227" i="13"/>
  <c r="F257" i="13"/>
  <c r="D231" i="13"/>
  <c r="D261" i="13" s="1"/>
  <c r="D233" i="13"/>
  <c r="D263" i="13" s="1"/>
  <c r="D237" i="13"/>
  <c r="D267" i="13" s="1"/>
  <c r="H237" i="17"/>
  <c r="H267" i="17" s="1"/>
  <c r="D237" i="17"/>
  <c r="D267" i="17" s="1"/>
  <c r="H236" i="25"/>
  <c r="H266" i="25" s="1"/>
  <c r="D236" i="25"/>
  <c r="D266" i="25" s="1"/>
  <c r="F124" i="5"/>
  <c r="F128" i="5"/>
  <c r="H160" i="5"/>
  <c r="D236" i="5"/>
  <c r="D266" i="5" s="1"/>
  <c r="S71" i="6"/>
  <c r="E123" i="9"/>
  <c r="E131" i="9"/>
  <c r="F142" i="9"/>
  <c r="G123" i="13"/>
  <c r="G131" i="13"/>
  <c r="F231" i="13"/>
  <c r="F261" i="13" s="1"/>
  <c r="B240" i="13"/>
  <c r="B270" i="13" s="1"/>
  <c r="E134" i="25"/>
  <c r="D121" i="17"/>
  <c r="D144" i="17"/>
  <c r="D152" i="17"/>
  <c r="D219" i="17"/>
  <c r="D249" i="17" s="1"/>
  <c r="H114" i="21"/>
  <c r="F123" i="21"/>
  <c r="F145" i="21"/>
  <c r="D222" i="21"/>
  <c r="D252" i="21" s="1"/>
  <c r="D226" i="21"/>
  <c r="D256" i="21" s="1"/>
  <c r="B230" i="21"/>
  <c r="B260" i="21" s="1"/>
  <c r="J232" i="21"/>
  <c r="J262" i="21" s="1"/>
  <c r="J238" i="21"/>
  <c r="J268" i="21" s="1"/>
  <c r="J240" i="21"/>
  <c r="J270" i="21" s="1"/>
  <c r="C122" i="25"/>
  <c r="H106" i="25"/>
  <c r="C130" i="25"/>
  <c r="H114" i="25"/>
  <c r="H115" i="25"/>
  <c r="F135" i="25"/>
  <c r="E142" i="25"/>
  <c r="E146" i="25"/>
  <c r="D240" i="25"/>
  <c r="D270" i="25" s="1"/>
  <c r="C126" i="29"/>
  <c r="F128" i="29"/>
  <c r="C134" i="29"/>
  <c r="F122" i="29"/>
  <c r="F126" i="29"/>
  <c r="F130" i="29"/>
  <c r="F134" i="29"/>
  <c r="F218" i="29"/>
  <c r="F248" i="29"/>
  <c r="J233" i="29"/>
  <c r="J263" i="29" s="1"/>
  <c r="D235" i="29"/>
  <c r="D265" i="29"/>
  <c r="J236" i="29"/>
  <c r="J266" i="29" s="1"/>
  <c r="B238" i="29"/>
  <c r="B268" i="29" s="1"/>
  <c r="H239" i="29"/>
  <c r="H269" i="29" s="1"/>
  <c r="B241" i="29"/>
  <c r="B271" i="29"/>
  <c r="E139" i="33"/>
  <c r="C126" i="33"/>
  <c r="E147" i="33"/>
  <c r="C134" i="33"/>
  <c r="D122" i="33"/>
  <c r="F146" i="33"/>
  <c r="F218" i="33"/>
  <c r="F248" i="33"/>
  <c r="J226" i="33"/>
  <c r="J256" i="33" s="1"/>
  <c r="B235" i="33"/>
  <c r="B265" i="33" s="1"/>
  <c r="D239" i="33"/>
  <c r="D269" i="33" s="1"/>
  <c r="S31" i="36"/>
  <c r="L37" i="36"/>
  <c r="C125" i="37"/>
  <c r="H110" i="37"/>
  <c r="C133" i="37"/>
  <c r="H118" i="37"/>
  <c r="H160" i="37"/>
  <c r="F165" i="37"/>
  <c r="G165" i="37" s="1"/>
  <c r="H165" i="37" s="1"/>
  <c r="I165" i="37" s="1"/>
  <c r="J165" i="37" s="1"/>
  <c r="S86" i="38"/>
  <c r="S84" i="38"/>
  <c r="S153" i="38"/>
  <c r="S30" i="40"/>
  <c r="D147" i="17"/>
  <c r="E152" i="17"/>
  <c r="E150" i="25"/>
  <c r="D241" i="29"/>
  <c r="D271" i="29"/>
  <c r="D126" i="33"/>
  <c r="B231" i="33"/>
  <c r="B261" i="33" s="1"/>
  <c r="S141" i="34"/>
  <c r="B5" i="17"/>
  <c r="C135" i="17"/>
  <c r="D142" i="17"/>
  <c r="E147" i="17"/>
  <c r="D150" i="17"/>
  <c r="G121" i="21"/>
  <c r="F142" i="21"/>
  <c r="F124" i="21"/>
  <c r="F230" i="21"/>
  <c r="F260" i="21" s="1"/>
  <c r="D239" i="21"/>
  <c r="D269" i="21" s="1"/>
  <c r="F132" i="25"/>
  <c r="F121" i="25"/>
  <c r="F125" i="25"/>
  <c r="F129" i="25"/>
  <c r="H227" i="25"/>
  <c r="H257" i="25" s="1"/>
  <c r="C124" i="29"/>
  <c r="C136" i="29"/>
  <c r="D144" i="29"/>
  <c r="C132" i="29"/>
  <c r="D152" i="29"/>
  <c r="B222" i="29"/>
  <c r="B252" i="29"/>
  <c r="B226" i="29"/>
  <c r="B256" i="29" s="1"/>
  <c r="H235" i="29"/>
  <c r="H265" i="29"/>
  <c r="F241" i="29"/>
  <c r="F271" i="29" s="1"/>
  <c r="G139" i="33"/>
  <c r="G147" i="33"/>
  <c r="D130" i="33"/>
  <c r="F142" i="33"/>
  <c r="F164" i="33"/>
  <c r="G164" i="33" s="1"/>
  <c r="H164" i="33" s="1"/>
  <c r="I164" i="33" s="1"/>
  <c r="J164" i="33" s="1"/>
  <c r="J218" i="33"/>
  <c r="J248" i="33" s="1"/>
  <c r="B227" i="33"/>
  <c r="B257" i="33"/>
  <c r="D231" i="33"/>
  <c r="D261" i="33" s="1"/>
  <c r="B234" i="33"/>
  <c r="B264" i="33"/>
  <c r="F235" i="33"/>
  <c r="F265" i="33" s="1"/>
  <c r="D238" i="33"/>
  <c r="D268" i="33"/>
  <c r="H239" i="33"/>
  <c r="H269" i="33" s="1"/>
  <c r="P154" i="34"/>
  <c r="C123" i="37"/>
  <c r="F125" i="37"/>
  <c r="F145" i="37"/>
  <c r="C131" i="37"/>
  <c r="F133" i="37"/>
  <c r="F153" i="37"/>
  <c r="F163" i="37"/>
  <c r="G163" i="37"/>
  <c r="H163" i="37"/>
  <c r="I163" i="37" s="1"/>
  <c r="J163" i="37" s="1"/>
  <c r="S123" i="38"/>
  <c r="D145" i="17"/>
  <c r="D153" i="17"/>
  <c r="G142" i="21"/>
  <c r="D143" i="21"/>
  <c r="D223" i="21"/>
  <c r="D253" i="21" s="1"/>
  <c r="D227" i="21"/>
  <c r="D257" i="21"/>
  <c r="H230" i="21"/>
  <c r="H260" i="21"/>
  <c r="B234" i="21"/>
  <c r="B264" i="21"/>
  <c r="F128" i="25"/>
  <c r="F149" i="25"/>
  <c r="C135" i="25"/>
  <c r="F133" i="25"/>
  <c r="H160" i="25"/>
  <c r="D235" i="25"/>
  <c r="D265" i="25" s="1"/>
  <c r="F125" i="29"/>
  <c r="F133" i="29"/>
  <c r="F142" i="29"/>
  <c r="D219" i="29"/>
  <c r="D249" i="29"/>
  <c r="D222" i="29"/>
  <c r="D252" i="29" s="1"/>
  <c r="D226" i="29"/>
  <c r="D256" i="29"/>
  <c r="D234" i="29"/>
  <c r="D264" i="29" s="1"/>
  <c r="J238" i="29"/>
  <c r="J268" i="29"/>
  <c r="H241" i="29"/>
  <c r="H271" i="29" s="1"/>
  <c r="D134" i="33"/>
  <c r="H160" i="33"/>
  <c r="B223" i="33"/>
  <c r="B253" i="33" s="1"/>
  <c r="F231" i="33"/>
  <c r="F261" i="33" s="1"/>
  <c r="D234" i="33"/>
  <c r="D264" i="33" s="1"/>
  <c r="S86" i="34"/>
  <c r="S84" i="34"/>
  <c r="Q154" i="34"/>
  <c r="H107" i="37"/>
  <c r="H115" i="37"/>
  <c r="S73" i="38"/>
  <c r="S142" i="38"/>
  <c r="E145" i="17"/>
  <c r="D148" i="17"/>
  <c r="E153" i="17"/>
  <c r="F122" i="21"/>
  <c r="D219" i="21"/>
  <c r="D249" i="21"/>
  <c r="B232" i="21"/>
  <c r="B262" i="21"/>
  <c r="B238" i="21"/>
  <c r="B268" i="21" s="1"/>
  <c r="C126" i="25"/>
  <c r="H110" i="25"/>
  <c r="C134" i="25"/>
  <c r="H223" i="25"/>
  <c r="H253" i="25" s="1"/>
  <c r="D228" i="25"/>
  <c r="D258" i="25"/>
  <c r="D232" i="25"/>
  <c r="D262" i="25"/>
  <c r="C122" i="29"/>
  <c r="F124" i="29"/>
  <c r="F144" i="29"/>
  <c r="C130" i="29"/>
  <c r="F132" i="29"/>
  <c r="F152" i="29"/>
  <c r="F146" i="29"/>
  <c r="J222" i="29"/>
  <c r="J252" i="29" s="1"/>
  <c r="J226" i="29"/>
  <c r="J256" i="29"/>
  <c r="B233" i="29"/>
  <c r="B263" i="29"/>
  <c r="C122" i="33"/>
  <c r="E143" i="33"/>
  <c r="C130" i="33"/>
  <c r="E151" i="33"/>
  <c r="D124" i="33"/>
  <c r="B219" i="33"/>
  <c r="B249" i="33" s="1"/>
  <c r="D223" i="33"/>
  <c r="D253" i="33"/>
  <c r="B226" i="33"/>
  <c r="B256" i="33"/>
  <c r="F227" i="33"/>
  <c r="F257" i="33"/>
  <c r="H231" i="33"/>
  <c r="H261" i="33" s="1"/>
  <c r="F234" i="33"/>
  <c r="F264" i="33" s="1"/>
  <c r="L32" i="36"/>
  <c r="C121" i="37"/>
  <c r="H106" i="37"/>
  <c r="C129" i="37"/>
  <c r="H114" i="37"/>
  <c r="D143" i="17"/>
  <c r="D151" i="17"/>
  <c r="H160" i="17"/>
  <c r="D232" i="21"/>
  <c r="D262" i="21"/>
  <c r="D238" i="21"/>
  <c r="D268" i="21"/>
  <c r="B240" i="21"/>
  <c r="B270" i="21" s="1"/>
  <c r="F126" i="25"/>
  <c r="H118" i="25"/>
  <c r="H106" i="29"/>
  <c r="H114" i="29"/>
  <c r="D128" i="33"/>
  <c r="F223" i="33"/>
  <c r="F253" i="33"/>
  <c r="H234" i="33"/>
  <c r="H264" i="33"/>
  <c r="S73" i="34"/>
  <c r="S142" i="34"/>
  <c r="H105" i="37"/>
  <c r="H113" i="37"/>
  <c r="C123" i="17"/>
  <c r="E143" i="17"/>
  <c r="E154" i="17"/>
  <c r="D146" i="17"/>
  <c r="E151" i="17"/>
  <c r="D144" i="21"/>
  <c r="G122" i="21"/>
  <c r="F126" i="21"/>
  <c r="F130" i="21"/>
  <c r="F134" i="21"/>
  <c r="F150" i="21"/>
  <c r="H236" i="21"/>
  <c r="H266" i="21" s="1"/>
  <c r="F240" i="21"/>
  <c r="F270" i="21" s="1"/>
  <c r="C124" i="25"/>
  <c r="C136" i="25"/>
  <c r="C132" i="25"/>
  <c r="H117" i="25"/>
  <c r="F123" i="25"/>
  <c r="F127" i="25"/>
  <c r="F131" i="25"/>
  <c r="E141" i="25"/>
  <c r="E145" i="25"/>
  <c r="C128" i="29"/>
  <c r="H160" i="29"/>
  <c r="B227" i="29"/>
  <c r="B257" i="29"/>
  <c r="D236" i="29"/>
  <c r="D266" i="29" s="1"/>
  <c r="G143" i="33"/>
  <c r="G151" i="33"/>
  <c r="D132" i="33"/>
  <c r="F150" i="33"/>
  <c r="H223" i="33"/>
  <c r="H253" i="33"/>
  <c r="C2" i="37"/>
  <c r="F121" i="37"/>
  <c r="C127" i="37"/>
  <c r="F129" i="37"/>
  <c r="C135" i="37"/>
  <c r="F223" i="29"/>
  <c r="F253" i="29" s="1"/>
  <c r="D225" i="29"/>
  <c r="D255" i="29" s="1"/>
  <c r="D218" i="29"/>
  <c r="D248" i="29" s="1"/>
  <c r="J223" i="29"/>
  <c r="J253" i="29"/>
  <c r="H225" i="29"/>
  <c r="H255" i="29" s="1"/>
  <c r="F226" i="29"/>
  <c r="F256" i="29" s="1"/>
  <c r="D227" i="29"/>
  <c r="D257" i="29" s="1"/>
  <c r="B228" i="29"/>
  <c r="B258" i="29"/>
  <c r="J218" i="29"/>
  <c r="J248" i="29" s="1"/>
  <c r="F220" i="29"/>
  <c r="F250" i="29" s="1"/>
  <c r="D223" i="29"/>
  <c r="D253" i="29" s="1"/>
  <c r="J227" i="29"/>
  <c r="J257" i="29"/>
  <c r="D221" i="21"/>
  <c r="D251" i="21" s="1"/>
  <c r="H224" i="21"/>
  <c r="H254" i="21" s="1"/>
  <c r="D220" i="21"/>
  <c r="D250" i="21" s="1"/>
  <c r="D228" i="21"/>
  <c r="D258" i="21"/>
  <c r="H220" i="21"/>
  <c r="H250" i="21" s="1"/>
  <c r="D225" i="21"/>
  <c r="D255" i="21" s="1"/>
  <c r="H228" i="21"/>
  <c r="H258" i="21" s="1"/>
  <c r="B219" i="13"/>
  <c r="B249" i="13"/>
  <c r="D219" i="13"/>
  <c r="D249" i="13" s="1"/>
  <c r="H218" i="13"/>
  <c r="H248" i="13" s="1"/>
  <c r="H219" i="13"/>
  <c r="H249" i="13" s="1"/>
  <c r="H222" i="13"/>
  <c r="H252" i="13"/>
  <c r="B227" i="13"/>
  <c r="B257" i="13" s="1"/>
  <c r="B228" i="13"/>
  <c r="B258" i="13" s="1"/>
  <c r="J220" i="29"/>
  <c r="J250" i="29" s="1"/>
  <c r="F221" i="29"/>
  <c r="F251" i="29"/>
  <c r="D224" i="29"/>
  <c r="D254" i="29" s="1"/>
  <c r="B225" i="29"/>
  <c r="B255" i="29" s="1"/>
  <c r="J225" i="29"/>
  <c r="J255" i="29" s="1"/>
  <c r="J228" i="29"/>
  <c r="J258" i="29"/>
  <c r="D221" i="29"/>
  <c r="D251" i="29" s="1"/>
  <c r="B224" i="29"/>
  <c r="B254" i="29" s="1"/>
  <c r="H221" i="29"/>
  <c r="H251" i="29" s="1"/>
  <c r="F224" i="29"/>
  <c r="F254" i="29"/>
  <c r="D220" i="29"/>
  <c r="D250" i="29" s="1"/>
  <c r="B221" i="29"/>
  <c r="B251" i="29" s="1"/>
  <c r="F222" i="29"/>
  <c r="F252" i="29" s="1"/>
  <c r="J224" i="29"/>
  <c r="J254" i="29"/>
  <c r="D228" i="29"/>
  <c r="D258" i="29" s="1"/>
  <c r="D225" i="25"/>
  <c r="D255" i="25" s="1"/>
  <c r="D222" i="25"/>
  <c r="D252" i="25" s="1"/>
  <c r="D226" i="25"/>
  <c r="D256" i="25"/>
  <c r="H219" i="21"/>
  <c r="H249" i="21" s="1"/>
  <c r="H221" i="21"/>
  <c r="H251" i="21" s="1"/>
  <c r="H223" i="21"/>
  <c r="H253" i="21" s="1"/>
  <c r="H225" i="21"/>
  <c r="H255" i="21"/>
  <c r="H227" i="21"/>
  <c r="H257" i="21" s="1"/>
  <c r="H229" i="21"/>
  <c r="H259" i="21" s="1"/>
  <c r="F218" i="21"/>
  <c r="F248" i="21" s="1"/>
  <c r="B219" i="21"/>
  <c r="B249" i="21"/>
  <c r="J219" i="21"/>
  <c r="J249" i="21" s="1"/>
  <c r="F220" i="21"/>
  <c r="F250" i="21" s="1"/>
  <c r="B221" i="21"/>
  <c r="B251" i="21" s="1"/>
  <c r="J221" i="21"/>
  <c r="J251" i="21" s="1"/>
  <c r="F222" i="21"/>
  <c r="F252" i="21" s="1"/>
  <c r="B223" i="21"/>
  <c r="B253" i="21" s="1"/>
  <c r="J223" i="21"/>
  <c r="J253" i="21" s="1"/>
  <c r="F224" i="21"/>
  <c r="F254" i="21"/>
  <c r="B225" i="21"/>
  <c r="B255" i="21" s="1"/>
  <c r="J225" i="21"/>
  <c r="J255" i="21" s="1"/>
  <c r="F226" i="21"/>
  <c r="F256" i="21" s="1"/>
  <c r="B227" i="21"/>
  <c r="B257" i="21"/>
  <c r="J227" i="21"/>
  <c r="J257" i="21" s="1"/>
  <c r="F228" i="21"/>
  <c r="F258" i="21" s="1"/>
  <c r="B229" i="21"/>
  <c r="B259" i="21" s="1"/>
  <c r="J229" i="21"/>
  <c r="J259" i="21"/>
  <c r="B218" i="21"/>
  <c r="B248" i="21" s="1"/>
  <c r="B220" i="21"/>
  <c r="B250" i="21" s="1"/>
  <c r="B222" i="21"/>
  <c r="B252" i="21" s="1"/>
  <c r="B224" i="21"/>
  <c r="B254" i="21"/>
  <c r="B226" i="21"/>
  <c r="B256" i="21" s="1"/>
  <c r="B228" i="21"/>
  <c r="B258" i="21" s="1"/>
  <c r="D218" i="17"/>
  <c r="D248" i="17" s="1"/>
  <c r="D222" i="17"/>
  <c r="D252" i="17" s="1"/>
  <c r="D226" i="17"/>
  <c r="D256" i="17" s="1"/>
  <c r="B223" i="13"/>
  <c r="B253" i="13" s="1"/>
  <c r="B218" i="13"/>
  <c r="B248" i="13" s="1"/>
  <c r="J218" i="13"/>
  <c r="J248" i="13" s="1"/>
  <c r="F219" i="13"/>
  <c r="F249" i="13" s="1"/>
  <c r="B220" i="13"/>
  <c r="B250" i="13" s="1"/>
  <c r="B222" i="13"/>
  <c r="B252" i="13" s="1"/>
  <c r="J222" i="13"/>
  <c r="J252" i="13" s="1"/>
  <c r="D223" i="13"/>
  <c r="D253" i="13" s="1"/>
  <c r="F226" i="13"/>
  <c r="F256" i="13" s="1"/>
  <c r="H227" i="13"/>
  <c r="H257" i="13" s="1"/>
  <c r="D222" i="13"/>
  <c r="D252" i="13" s="1"/>
  <c r="D226" i="13"/>
  <c r="D256" i="13" s="1"/>
  <c r="D218" i="13"/>
  <c r="D248" i="13" s="1"/>
  <c r="F220" i="13"/>
  <c r="F250" i="13" s="1"/>
  <c r="F223" i="13"/>
  <c r="F253" i="13" s="1"/>
  <c r="H226" i="13"/>
  <c r="H256" i="13" s="1"/>
  <c r="H223" i="13"/>
  <c r="H253" i="13" s="1"/>
  <c r="B226" i="13"/>
  <c r="B256" i="13" s="1"/>
  <c r="D227" i="13"/>
  <c r="D257" i="13" s="1"/>
  <c r="S6" i="38"/>
  <c r="F167" i="37"/>
  <c r="G167" i="37" s="1"/>
  <c r="H167" i="37" s="1"/>
  <c r="I167" i="37" s="1"/>
  <c r="J167" i="37" s="1"/>
  <c r="F171" i="37"/>
  <c r="G171" i="37"/>
  <c r="H171" i="37"/>
  <c r="I171" i="37" s="1"/>
  <c r="J171" i="37" s="1"/>
  <c r="F173" i="33"/>
  <c r="G173" i="33" s="1"/>
  <c r="H173" i="33" s="1"/>
  <c r="I173" i="33" s="1"/>
  <c r="J173" i="33" s="1"/>
  <c r="F170" i="33"/>
  <c r="G170" i="33" s="1"/>
  <c r="H170" i="33" s="1"/>
  <c r="I170" i="33" s="1"/>
  <c r="J170" i="33" s="1"/>
  <c r="F166" i="37"/>
  <c r="G166" i="37" s="1"/>
  <c r="H166" i="37" s="1"/>
  <c r="I166" i="37" s="1"/>
  <c r="J166" i="37" s="1"/>
  <c r="F167" i="33"/>
  <c r="G167" i="33"/>
  <c r="H167" i="33" s="1"/>
  <c r="I167" i="33" s="1"/>
  <c r="J167" i="33" s="1"/>
  <c r="F169" i="33"/>
  <c r="G169" i="33"/>
  <c r="H169" i="33" s="1"/>
  <c r="I169" i="33" s="1"/>
  <c r="J169" i="33" s="1"/>
  <c r="F168" i="33"/>
  <c r="G168" i="33"/>
  <c r="H168" i="33" s="1"/>
  <c r="I168" i="33" s="1"/>
  <c r="J168" i="33" s="1"/>
  <c r="F172" i="33"/>
  <c r="G172" i="33" s="1"/>
  <c r="H172" i="33" s="1"/>
  <c r="I172" i="33" s="1"/>
  <c r="J172" i="33" s="1"/>
  <c r="F171" i="33"/>
  <c r="G171" i="33"/>
  <c r="H171" i="33"/>
  <c r="I171" i="33" s="1"/>
  <c r="J171" i="33" s="1"/>
  <c r="B5" i="29"/>
  <c r="C11" i="21"/>
  <c r="C12" i="21"/>
  <c r="B5" i="13"/>
  <c r="C11" i="9"/>
  <c r="C12" i="9"/>
  <c r="F169" i="37"/>
  <c r="G169" i="37" s="1"/>
  <c r="H169" i="37" s="1"/>
  <c r="I169" i="37" s="1"/>
  <c r="J169" i="37" s="1"/>
  <c r="F170" i="37"/>
  <c r="G170" i="37"/>
  <c r="H170" i="37" s="1"/>
  <c r="I170" i="37" s="1"/>
  <c r="J170" i="37" s="1"/>
  <c r="F168" i="37"/>
  <c r="G168" i="37" s="1"/>
  <c r="H168" i="37" s="1"/>
  <c r="I168" i="37" s="1"/>
  <c r="J168" i="37" s="1"/>
  <c r="F173" i="37"/>
  <c r="G173" i="37" s="1"/>
  <c r="H173" i="37" s="1"/>
  <c r="I173" i="37" s="1"/>
  <c r="J173" i="37" s="1"/>
  <c r="F172" i="37"/>
  <c r="G172" i="37"/>
  <c r="H172" i="37"/>
  <c r="I172" i="37"/>
  <c r="J172" i="37" s="1"/>
  <c r="F166" i="33"/>
  <c r="G166" i="33"/>
  <c r="H166" i="33" s="1"/>
  <c r="I166" i="33" s="1"/>
  <c r="J166" i="33" s="1"/>
  <c r="L31" i="40"/>
  <c r="L33" i="40"/>
  <c r="L39" i="40"/>
  <c r="S31" i="40"/>
  <c r="S33" i="40"/>
  <c r="L40" i="40"/>
  <c r="S30" i="36"/>
  <c r="L31" i="36"/>
  <c r="L39" i="36"/>
  <c r="L33" i="36"/>
  <c r="L30" i="36"/>
  <c r="L38" i="36"/>
  <c r="S2" i="38"/>
  <c r="N4" i="38"/>
  <c r="C3" i="37"/>
  <c r="N6" i="38"/>
  <c r="E208" i="37"/>
  <c r="E206" i="37"/>
  <c r="C4" i="37"/>
  <c r="C11" i="37"/>
  <c r="C12" i="37" s="1"/>
  <c r="G124" i="37"/>
  <c r="E124" i="37"/>
  <c r="G128" i="37"/>
  <c r="E128" i="37"/>
  <c r="G132" i="37"/>
  <c r="E132" i="37"/>
  <c r="E140" i="37"/>
  <c r="G140" i="37"/>
  <c r="C140" i="37"/>
  <c r="E144" i="37"/>
  <c r="G144" i="37"/>
  <c r="C144" i="37"/>
  <c r="E148" i="37"/>
  <c r="G148" i="37"/>
  <c r="C148" i="37"/>
  <c r="E152" i="37"/>
  <c r="G152" i="37"/>
  <c r="C152" i="37"/>
  <c r="F219" i="37"/>
  <c r="F249" i="37" s="1"/>
  <c r="J219" i="37"/>
  <c r="J249" i="37"/>
  <c r="B219" i="37"/>
  <c r="B249" i="37" s="1"/>
  <c r="F223" i="37"/>
  <c r="F253" i="37"/>
  <c r="J223" i="37"/>
  <c r="J253" i="37" s="1"/>
  <c r="B223" i="37"/>
  <c r="B253" i="37"/>
  <c r="F227" i="37"/>
  <c r="F257" i="37" s="1"/>
  <c r="J227" i="37"/>
  <c r="J257" i="37"/>
  <c r="B227" i="37"/>
  <c r="B257" i="37" s="1"/>
  <c r="F231" i="37"/>
  <c r="F261" i="37"/>
  <c r="J231" i="37"/>
  <c r="J261" i="37" s="1"/>
  <c r="B231" i="37"/>
  <c r="B261" i="37"/>
  <c r="F235" i="37"/>
  <c r="F265" i="37" s="1"/>
  <c r="J235" i="37"/>
  <c r="J265" i="37"/>
  <c r="B235" i="37"/>
  <c r="B265" i="37" s="1"/>
  <c r="F239" i="37"/>
  <c r="F269" i="37" s="1"/>
  <c r="J239" i="37"/>
  <c r="J269" i="37" s="1"/>
  <c r="B239" i="37"/>
  <c r="B269" i="37"/>
  <c r="G122" i="37"/>
  <c r="E122" i="37"/>
  <c r="F124" i="37"/>
  <c r="G126" i="37"/>
  <c r="E126" i="37"/>
  <c r="F128" i="37"/>
  <c r="G130" i="37"/>
  <c r="E130" i="37"/>
  <c r="F132" i="37"/>
  <c r="G134" i="37"/>
  <c r="E134" i="37"/>
  <c r="F140" i="37"/>
  <c r="E142" i="37"/>
  <c r="G142" i="37"/>
  <c r="C142" i="37"/>
  <c r="F144" i="37"/>
  <c r="E146" i="37"/>
  <c r="G146" i="37"/>
  <c r="C146" i="37"/>
  <c r="F148" i="37"/>
  <c r="E150" i="37"/>
  <c r="G150" i="37"/>
  <c r="C150" i="37"/>
  <c r="F152" i="37"/>
  <c r="D219" i="37"/>
  <c r="D249" i="37"/>
  <c r="F221" i="37"/>
  <c r="F251" i="37"/>
  <c r="J221" i="37"/>
  <c r="J251" i="37" s="1"/>
  <c r="B221" i="37"/>
  <c r="B251" i="37"/>
  <c r="D223" i="37"/>
  <c r="D253" i="37"/>
  <c r="F225" i="37"/>
  <c r="F255" i="37"/>
  <c r="J225" i="37"/>
  <c r="J255" i="37" s="1"/>
  <c r="B225" i="37"/>
  <c r="B255" i="37"/>
  <c r="D227" i="37"/>
  <c r="D257" i="37"/>
  <c r="F229" i="37"/>
  <c r="F259" i="37"/>
  <c r="J229" i="37"/>
  <c r="J259" i="37" s="1"/>
  <c r="B229" i="37"/>
  <c r="B259" i="37"/>
  <c r="D231" i="37"/>
  <c r="D261" i="37"/>
  <c r="F233" i="37"/>
  <c r="F263" i="37"/>
  <c r="J233" i="37"/>
  <c r="J263" i="37" s="1"/>
  <c r="B233" i="37"/>
  <c r="B263" i="37"/>
  <c r="D235" i="37"/>
  <c r="D265" i="37"/>
  <c r="F237" i="37"/>
  <c r="F267" i="37"/>
  <c r="J237" i="37"/>
  <c r="J267" i="37" s="1"/>
  <c r="B237" i="37"/>
  <c r="B267" i="37" s="1"/>
  <c r="D239" i="37"/>
  <c r="D269" i="37"/>
  <c r="F241" i="37"/>
  <c r="F271" i="37"/>
  <c r="J241" i="37"/>
  <c r="J271" i="37" s="1"/>
  <c r="B241" i="37"/>
  <c r="B271" i="37" s="1"/>
  <c r="C25" i="37"/>
  <c r="C26" i="37" s="1"/>
  <c r="C28" i="37" s="1"/>
  <c r="C29" i="37" s="1"/>
  <c r="C30" i="37" s="1"/>
  <c r="H104" i="37"/>
  <c r="H108" i="37"/>
  <c r="H112" i="37"/>
  <c r="H116" i="37"/>
  <c r="D122" i="37"/>
  <c r="G123" i="37"/>
  <c r="E123" i="37"/>
  <c r="D126" i="37"/>
  <c r="G127" i="37"/>
  <c r="E127" i="37"/>
  <c r="D130" i="37"/>
  <c r="G131" i="37"/>
  <c r="E131" i="37"/>
  <c r="D134" i="37"/>
  <c r="G135" i="37"/>
  <c r="E135" i="37"/>
  <c r="E139" i="37"/>
  <c r="G139" i="37"/>
  <c r="C139" i="37"/>
  <c r="D142" i="37"/>
  <c r="E143" i="37"/>
  <c r="G143" i="37"/>
  <c r="C143" i="37"/>
  <c r="D146" i="37"/>
  <c r="E147" i="37"/>
  <c r="G147" i="37"/>
  <c r="C147" i="37"/>
  <c r="D150" i="37"/>
  <c r="E151" i="37"/>
  <c r="G151" i="37"/>
  <c r="C151" i="37"/>
  <c r="H219" i="37"/>
  <c r="H249" i="37"/>
  <c r="J220" i="37"/>
  <c r="J250" i="37" s="1"/>
  <c r="B220" i="37"/>
  <c r="B250" i="37"/>
  <c r="F220" i="37"/>
  <c r="F250" i="37" s="1"/>
  <c r="H223" i="37"/>
  <c r="H253" i="37"/>
  <c r="J224" i="37"/>
  <c r="J254" i="37" s="1"/>
  <c r="B224" i="37"/>
  <c r="B254" i="37"/>
  <c r="F224" i="37"/>
  <c r="F254" i="37" s="1"/>
  <c r="H227" i="37"/>
  <c r="H257" i="37"/>
  <c r="J228" i="37"/>
  <c r="J258" i="37" s="1"/>
  <c r="B228" i="37"/>
  <c r="B258" i="37"/>
  <c r="F228" i="37"/>
  <c r="F258" i="37" s="1"/>
  <c r="H231" i="37"/>
  <c r="H261" i="37"/>
  <c r="J232" i="37"/>
  <c r="J262" i="37" s="1"/>
  <c r="B232" i="37"/>
  <c r="B262" i="37"/>
  <c r="F232" i="37"/>
  <c r="F262" i="37" s="1"/>
  <c r="H235" i="37"/>
  <c r="H265" i="37"/>
  <c r="J236" i="37"/>
  <c r="J266" i="37" s="1"/>
  <c r="B236" i="37"/>
  <c r="B266" i="37"/>
  <c r="F236" i="37"/>
  <c r="F266" i="37" s="1"/>
  <c r="H239" i="37"/>
  <c r="H269" i="37"/>
  <c r="J240" i="37"/>
  <c r="J270" i="37" s="1"/>
  <c r="B240" i="37"/>
  <c r="B270" i="37"/>
  <c r="F240" i="37"/>
  <c r="F270" i="37" s="1"/>
  <c r="G121" i="37"/>
  <c r="E121" i="37"/>
  <c r="F123" i="37"/>
  <c r="D124" i="37"/>
  <c r="G125" i="37"/>
  <c r="H125" i="37" s="1"/>
  <c r="E125" i="37"/>
  <c r="F127" i="37"/>
  <c r="D128" i="37"/>
  <c r="G129" i="37"/>
  <c r="E129" i="37"/>
  <c r="H129" i="37" s="1"/>
  <c r="F131" i="37"/>
  <c r="D132" i="37"/>
  <c r="G133" i="37"/>
  <c r="E133" i="37"/>
  <c r="F135" i="37"/>
  <c r="F139" i="37"/>
  <c r="D140" i="37"/>
  <c r="E141" i="37"/>
  <c r="G141" i="37"/>
  <c r="C141" i="37"/>
  <c r="F143" i="37"/>
  <c r="D144" i="37"/>
  <c r="E145" i="37"/>
  <c r="G145" i="37"/>
  <c r="C145" i="37"/>
  <c r="F147" i="37"/>
  <c r="D148" i="37"/>
  <c r="E149" i="37"/>
  <c r="G149" i="37"/>
  <c r="C149" i="37"/>
  <c r="F151" i="37"/>
  <c r="D152" i="37"/>
  <c r="E153" i="37"/>
  <c r="G153" i="37"/>
  <c r="C153" i="37"/>
  <c r="J218" i="37"/>
  <c r="J248" i="37" s="1"/>
  <c r="B218" i="37"/>
  <c r="B248" i="37" s="1"/>
  <c r="F218" i="37"/>
  <c r="F248" i="37" s="1"/>
  <c r="D220" i="37"/>
  <c r="D250" i="37"/>
  <c r="H221" i="37"/>
  <c r="H251" i="37" s="1"/>
  <c r="J222" i="37"/>
  <c r="J252" i="37" s="1"/>
  <c r="B222" i="37"/>
  <c r="B252" i="37" s="1"/>
  <c r="F222" i="37"/>
  <c r="F252" i="37"/>
  <c r="D224" i="37"/>
  <c r="D254" i="37" s="1"/>
  <c r="H225" i="37"/>
  <c r="H255" i="37" s="1"/>
  <c r="J226" i="37"/>
  <c r="J256" i="37" s="1"/>
  <c r="B226" i="37"/>
  <c r="B256" i="37"/>
  <c r="F226" i="37"/>
  <c r="F256" i="37" s="1"/>
  <c r="D228" i="37"/>
  <c r="D258" i="37" s="1"/>
  <c r="H229" i="37"/>
  <c r="H259" i="37" s="1"/>
  <c r="J230" i="37"/>
  <c r="J260" i="37"/>
  <c r="B230" i="37"/>
  <c r="B260" i="37" s="1"/>
  <c r="F230" i="37"/>
  <c r="F260" i="37" s="1"/>
  <c r="D232" i="37"/>
  <c r="D262" i="37" s="1"/>
  <c r="H233" i="37"/>
  <c r="H263" i="37"/>
  <c r="J234" i="37"/>
  <c r="J264" i="37" s="1"/>
  <c r="B234" i="37"/>
  <c r="B264" i="37" s="1"/>
  <c r="F234" i="37"/>
  <c r="F264" i="37" s="1"/>
  <c r="D236" i="37"/>
  <c r="D266" i="37"/>
  <c r="H237" i="37"/>
  <c r="H267" i="37" s="1"/>
  <c r="J238" i="37"/>
  <c r="J268" i="37" s="1"/>
  <c r="B238" i="37"/>
  <c r="B268" i="37" s="1"/>
  <c r="F238" i="37"/>
  <c r="F268" i="37"/>
  <c r="D240" i="37"/>
  <c r="D270" i="37" s="1"/>
  <c r="H241" i="37"/>
  <c r="H271" i="37" s="1"/>
  <c r="S85" i="38"/>
  <c r="S141" i="38"/>
  <c r="S154" i="38" s="1"/>
  <c r="L30" i="40"/>
  <c r="L32" i="40"/>
  <c r="L37" i="40"/>
  <c r="S32" i="40"/>
  <c r="L38" i="40"/>
  <c r="E207" i="33"/>
  <c r="C141" i="33"/>
  <c r="H106" i="33"/>
  <c r="C149" i="33"/>
  <c r="H114" i="33"/>
  <c r="C153" i="33"/>
  <c r="H118" i="33"/>
  <c r="E121" i="33"/>
  <c r="E129" i="33"/>
  <c r="G130" i="33"/>
  <c r="E131" i="33"/>
  <c r="G132" i="33"/>
  <c r="G134" i="33"/>
  <c r="J224" i="33"/>
  <c r="J254" i="33"/>
  <c r="D224" i="33"/>
  <c r="D254" i="33" s="1"/>
  <c r="J240" i="33"/>
  <c r="J270" i="33"/>
  <c r="D240" i="33"/>
  <c r="D270" i="33"/>
  <c r="C4" i="33"/>
  <c r="C144" i="33"/>
  <c r="H109" i="33"/>
  <c r="C152" i="33"/>
  <c r="H117" i="33"/>
  <c r="F121" i="33"/>
  <c r="F125" i="33"/>
  <c r="F129" i="33"/>
  <c r="F133" i="33"/>
  <c r="F135" i="33"/>
  <c r="F147" i="33"/>
  <c r="F151" i="33"/>
  <c r="B220" i="33"/>
  <c r="B250" i="33" s="1"/>
  <c r="B224" i="33"/>
  <c r="B254" i="33"/>
  <c r="D225" i="33"/>
  <c r="D255" i="33" s="1"/>
  <c r="H225" i="33"/>
  <c r="H255" i="33"/>
  <c r="B225" i="33"/>
  <c r="B255" i="33" s="1"/>
  <c r="B228" i="33"/>
  <c r="B258" i="33"/>
  <c r="D229" i="33"/>
  <c r="D259" i="33" s="1"/>
  <c r="H229" i="33"/>
  <c r="H259" i="33"/>
  <c r="B229" i="33"/>
  <c r="B259" i="33" s="1"/>
  <c r="B232" i="33"/>
  <c r="B262" i="33"/>
  <c r="D233" i="33"/>
  <c r="D263" i="33" s="1"/>
  <c r="H233" i="33"/>
  <c r="H263" i="33"/>
  <c r="B233" i="33"/>
  <c r="B263" i="33" s="1"/>
  <c r="B236" i="33"/>
  <c r="B266" i="33"/>
  <c r="D237" i="33"/>
  <c r="D267" i="33" s="1"/>
  <c r="H237" i="33"/>
  <c r="H267" i="33"/>
  <c r="B237" i="33"/>
  <c r="B267" i="33" s="1"/>
  <c r="B240" i="33"/>
  <c r="B270" i="33"/>
  <c r="D241" i="33"/>
  <c r="D271" i="33" s="1"/>
  <c r="H241" i="33"/>
  <c r="H271" i="33"/>
  <c r="B241" i="33"/>
  <c r="B271" i="33" s="1"/>
  <c r="C139" i="33"/>
  <c r="H104" i="33"/>
  <c r="C143" i="33"/>
  <c r="H143" i="33" s="1"/>
  <c r="H108" i="33"/>
  <c r="C147" i="33"/>
  <c r="H112" i="33"/>
  <c r="C151" i="33"/>
  <c r="H116" i="33"/>
  <c r="D121" i="33"/>
  <c r="G121" i="33"/>
  <c r="E122" i="33"/>
  <c r="D123" i="33"/>
  <c r="G123" i="33"/>
  <c r="E124" i="33"/>
  <c r="D125" i="33"/>
  <c r="G125" i="33"/>
  <c r="E126" i="33"/>
  <c r="H126" i="33" s="1"/>
  <c r="D127" i="33"/>
  <c r="G127" i="33"/>
  <c r="E128" i="33"/>
  <c r="D129" i="33"/>
  <c r="G129" i="33"/>
  <c r="E130" i="33"/>
  <c r="D131" i="33"/>
  <c r="G131" i="33"/>
  <c r="E132" i="33"/>
  <c r="D133" i="33"/>
  <c r="G133" i="33"/>
  <c r="E134" i="33"/>
  <c r="D135" i="33"/>
  <c r="H135" i="33" s="1"/>
  <c r="G135" i="33"/>
  <c r="F140" i="33"/>
  <c r="F144" i="33"/>
  <c r="F148" i="33"/>
  <c r="F152" i="33"/>
  <c r="H152" i="33" s="1"/>
  <c r="F224" i="33"/>
  <c r="F254" i="33" s="1"/>
  <c r="F240" i="33"/>
  <c r="F270" i="33"/>
  <c r="E208" i="33"/>
  <c r="C25" i="33"/>
  <c r="C26" i="33"/>
  <c r="C11" i="33"/>
  <c r="C12" i="33"/>
  <c r="C145" i="33"/>
  <c r="H145" i="33" s="1"/>
  <c r="H110" i="33"/>
  <c r="G122" i="33"/>
  <c r="E123" i="33"/>
  <c r="G124" i="33"/>
  <c r="E125" i="33"/>
  <c r="G126" i="33"/>
  <c r="E127" i="33"/>
  <c r="G128" i="33"/>
  <c r="E133" i="33"/>
  <c r="E135" i="33"/>
  <c r="J220" i="33"/>
  <c r="J250" i="33"/>
  <c r="D220" i="33"/>
  <c r="D250" i="33"/>
  <c r="J228" i="33"/>
  <c r="J258" i="33" s="1"/>
  <c r="D228" i="33"/>
  <c r="D258" i="33"/>
  <c r="J232" i="33"/>
  <c r="J262" i="33"/>
  <c r="D232" i="33"/>
  <c r="D262" i="33"/>
  <c r="J236" i="33"/>
  <c r="J266" i="33" s="1"/>
  <c r="D236" i="33"/>
  <c r="D266" i="33"/>
  <c r="B5" i="33"/>
  <c r="C140" i="33"/>
  <c r="H105" i="33"/>
  <c r="C148" i="33"/>
  <c r="H113" i="33"/>
  <c r="F123" i="33"/>
  <c r="F127" i="33"/>
  <c r="F131" i="33"/>
  <c r="F139" i="33"/>
  <c r="F143" i="33"/>
  <c r="D221" i="33"/>
  <c r="D251" i="33" s="1"/>
  <c r="H221" i="33"/>
  <c r="H251" i="33"/>
  <c r="B221" i="33"/>
  <c r="B251" i="33" s="1"/>
  <c r="S6" i="34"/>
  <c r="C142" i="33"/>
  <c r="H142" i="33"/>
  <c r="H107" i="33"/>
  <c r="C146" i="33"/>
  <c r="H111" i="33"/>
  <c r="C150" i="33"/>
  <c r="H150" i="33"/>
  <c r="H115" i="33"/>
  <c r="F122" i="33"/>
  <c r="H122" i="33" s="1"/>
  <c r="F124" i="33"/>
  <c r="F126" i="33"/>
  <c r="F128" i="33"/>
  <c r="F130" i="33"/>
  <c r="F132" i="33"/>
  <c r="F134" i="33"/>
  <c r="F141" i="33"/>
  <c r="F145" i="33"/>
  <c r="F149" i="33"/>
  <c r="F153" i="33"/>
  <c r="H220" i="33"/>
  <c r="H250" i="33"/>
  <c r="F221" i="33"/>
  <c r="F251" i="33"/>
  <c r="H224" i="33"/>
  <c r="H254" i="33"/>
  <c r="F225" i="33"/>
  <c r="F255" i="33" s="1"/>
  <c r="H228" i="33"/>
  <c r="H258" i="33"/>
  <c r="F229" i="33"/>
  <c r="F259" i="33"/>
  <c r="H232" i="33"/>
  <c r="H262" i="33"/>
  <c r="F233" i="33"/>
  <c r="F263" i="33" s="1"/>
  <c r="H236" i="33"/>
  <c r="H266" i="33"/>
  <c r="F237" i="33"/>
  <c r="F267" i="33"/>
  <c r="H240" i="33"/>
  <c r="H270" i="33"/>
  <c r="F241" i="33"/>
  <c r="F271" i="33" s="1"/>
  <c r="B4" i="33"/>
  <c r="S153" i="34"/>
  <c r="S154" i="34" s="1"/>
  <c r="S123" i="34"/>
  <c r="S33" i="36"/>
  <c r="S32" i="36"/>
  <c r="L40" i="36"/>
  <c r="C2" i="29"/>
  <c r="C3" i="29"/>
  <c r="H104" i="29"/>
  <c r="H105" i="29"/>
  <c r="H107" i="29"/>
  <c r="H108" i="29"/>
  <c r="H109" i="29"/>
  <c r="H111" i="29"/>
  <c r="H112" i="29"/>
  <c r="H113" i="29"/>
  <c r="H115" i="29"/>
  <c r="H116" i="29"/>
  <c r="H117" i="29"/>
  <c r="D122" i="29"/>
  <c r="E123" i="29"/>
  <c r="G123" i="29"/>
  <c r="D126" i="29"/>
  <c r="E127" i="29"/>
  <c r="G127" i="29"/>
  <c r="D130" i="29"/>
  <c r="E131" i="29"/>
  <c r="G131" i="29"/>
  <c r="D134" i="29"/>
  <c r="H134" i="29"/>
  <c r="E135" i="29"/>
  <c r="G135" i="29"/>
  <c r="G139" i="29"/>
  <c r="C139" i="29"/>
  <c r="E139" i="29"/>
  <c r="D142" i="29"/>
  <c r="G143" i="29"/>
  <c r="C143" i="29"/>
  <c r="E143" i="29"/>
  <c r="D146" i="29"/>
  <c r="G147" i="29"/>
  <c r="C147" i="29"/>
  <c r="E147" i="29"/>
  <c r="D150" i="29"/>
  <c r="G151" i="29"/>
  <c r="C151" i="29"/>
  <c r="E151" i="29"/>
  <c r="D123" i="29"/>
  <c r="E124" i="29"/>
  <c r="G124" i="29"/>
  <c r="D127" i="29"/>
  <c r="E128" i="29"/>
  <c r="G128" i="29"/>
  <c r="D131" i="29"/>
  <c r="H131" i="29"/>
  <c r="E132" i="29"/>
  <c r="G132" i="29"/>
  <c r="D135" i="29"/>
  <c r="H135" i="29"/>
  <c r="D139" i="29"/>
  <c r="G140" i="29"/>
  <c r="C140" i="29"/>
  <c r="H140" i="29" s="1"/>
  <c r="E140" i="29"/>
  <c r="D143" i="29"/>
  <c r="G144" i="29"/>
  <c r="C144" i="29"/>
  <c r="E144" i="29"/>
  <c r="D147" i="29"/>
  <c r="G148" i="29"/>
  <c r="C148" i="29"/>
  <c r="H148" i="29"/>
  <c r="E148" i="29"/>
  <c r="D151" i="29"/>
  <c r="G152" i="29"/>
  <c r="C152" i="29"/>
  <c r="E152" i="29"/>
  <c r="B16" i="25"/>
  <c r="C21" i="25" s="1"/>
  <c r="C22" i="25" s="1"/>
  <c r="B21" i="25" s="1"/>
  <c r="B4" i="29"/>
  <c r="E121" i="29"/>
  <c r="G121" i="29"/>
  <c r="F123" i="29"/>
  <c r="D124" i="29"/>
  <c r="E125" i="29"/>
  <c r="G125" i="29"/>
  <c r="F127" i="29"/>
  <c r="D128" i="29"/>
  <c r="E129" i="29"/>
  <c r="G129" i="29"/>
  <c r="H129" i="29"/>
  <c r="F131" i="29"/>
  <c r="D132" i="29"/>
  <c r="E133" i="29"/>
  <c r="G133" i="29"/>
  <c r="F135" i="29"/>
  <c r="F139" i="29"/>
  <c r="G141" i="29"/>
  <c r="C141" i="29"/>
  <c r="H141" i="29" s="1"/>
  <c r="E141" i="29"/>
  <c r="F143" i="29"/>
  <c r="G145" i="29"/>
  <c r="C145" i="29"/>
  <c r="E145" i="29"/>
  <c r="F147" i="29"/>
  <c r="G149" i="29"/>
  <c r="C149" i="29"/>
  <c r="H149" i="29"/>
  <c r="E149" i="29"/>
  <c r="F151" i="29"/>
  <c r="G153" i="29"/>
  <c r="C153" i="29"/>
  <c r="E153" i="29"/>
  <c r="B19" i="25"/>
  <c r="D121" i="29"/>
  <c r="E122" i="29"/>
  <c r="G122" i="29"/>
  <c r="D125" i="29"/>
  <c r="E126" i="29"/>
  <c r="G126" i="29"/>
  <c r="D129" i="29"/>
  <c r="E130" i="29"/>
  <c r="G130" i="29"/>
  <c r="D133" i="29"/>
  <c r="H133" i="29"/>
  <c r="E134" i="29"/>
  <c r="G134" i="29"/>
  <c r="D141" i="29"/>
  <c r="G142" i="29"/>
  <c r="C142" i="29"/>
  <c r="E142" i="29"/>
  <c r="D145" i="29"/>
  <c r="G146" i="29"/>
  <c r="C146" i="29"/>
  <c r="E146" i="29"/>
  <c r="D149" i="29"/>
  <c r="G150" i="29"/>
  <c r="C150" i="29"/>
  <c r="E150" i="29"/>
  <c r="D153" i="29"/>
  <c r="B4" i="25"/>
  <c r="H104" i="25"/>
  <c r="H105" i="25"/>
  <c r="H107" i="25"/>
  <c r="H108" i="25"/>
  <c r="H109" i="25"/>
  <c r="H111" i="25"/>
  <c r="H112" i="25"/>
  <c r="H113" i="25"/>
  <c r="H116" i="25"/>
  <c r="E121" i="25"/>
  <c r="G122" i="25"/>
  <c r="E123" i="25"/>
  <c r="G124" i="25"/>
  <c r="E125" i="25"/>
  <c r="G126" i="25"/>
  <c r="E127" i="25"/>
  <c r="G128" i="25"/>
  <c r="E129" i="25"/>
  <c r="G130" i="25"/>
  <c r="E131" i="25"/>
  <c r="G132" i="25"/>
  <c r="E133" i="25"/>
  <c r="G134" i="25"/>
  <c r="E135" i="25"/>
  <c r="E140" i="25"/>
  <c r="G140" i="25"/>
  <c r="C141" i="25"/>
  <c r="D142" i="25"/>
  <c r="E144" i="25"/>
  <c r="G144" i="25"/>
  <c r="C145" i="25"/>
  <c r="D146" i="25"/>
  <c r="E148" i="25"/>
  <c r="G148" i="25"/>
  <c r="C149" i="25"/>
  <c r="D150" i="25"/>
  <c r="E152" i="25"/>
  <c r="G152" i="25"/>
  <c r="C153" i="25"/>
  <c r="C2" i="25"/>
  <c r="D122" i="25"/>
  <c r="H122" i="25"/>
  <c r="D124" i="25"/>
  <c r="D126" i="25"/>
  <c r="H126" i="25"/>
  <c r="D128" i="25"/>
  <c r="D130" i="25"/>
  <c r="D132" i="25"/>
  <c r="H132" i="25"/>
  <c r="D134" i="25"/>
  <c r="E139" i="25"/>
  <c r="E154" i="25"/>
  <c r="G139" i="25"/>
  <c r="C140" i="25"/>
  <c r="D141" i="25"/>
  <c r="F142" i="25"/>
  <c r="E143" i="25"/>
  <c r="G143" i="25"/>
  <c r="C144" i="25"/>
  <c r="D145" i="25"/>
  <c r="F146" i="25"/>
  <c r="E147" i="25"/>
  <c r="G147" i="25"/>
  <c r="C148" i="25"/>
  <c r="H148" i="25" s="1"/>
  <c r="D149" i="25"/>
  <c r="F150" i="25"/>
  <c r="E151" i="25"/>
  <c r="G151" i="25"/>
  <c r="C152" i="25"/>
  <c r="D153" i="25"/>
  <c r="B5" i="25"/>
  <c r="G121" i="25"/>
  <c r="E122" i="25"/>
  <c r="G123" i="25"/>
  <c r="E124" i="25"/>
  <c r="G125" i="25"/>
  <c r="E126" i="25"/>
  <c r="G127" i="25"/>
  <c r="E128" i="25"/>
  <c r="G129" i="25"/>
  <c r="E130" i="25"/>
  <c r="G131" i="25"/>
  <c r="G133" i="25"/>
  <c r="G135" i="25"/>
  <c r="G142" i="25"/>
  <c r="G146" i="25"/>
  <c r="G150" i="25"/>
  <c r="D121" i="25"/>
  <c r="H121" i="25"/>
  <c r="D123" i="25"/>
  <c r="H123" i="25"/>
  <c r="D125" i="25"/>
  <c r="D127" i="25"/>
  <c r="H127" i="25"/>
  <c r="D129" i="25"/>
  <c r="H129" i="25"/>
  <c r="D131" i="25"/>
  <c r="D133" i="25"/>
  <c r="F134" i="25"/>
  <c r="F136" i="25"/>
  <c r="D135" i="25"/>
  <c r="G141" i="25"/>
  <c r="C142" i="25"/>
  <c r="G145" i="25"/>
  <c r="C146" i="25"/>
  <c r="G149" i="25"/>
  <c r="C150" i="25"/>
  <c r="H150" i="25" s="1"/>
  <c r="G153" i="25"/>
  <c r="J219" i="25"/>
  <c r="J249" i="25"/>
  <c r="F219" i="25"/>
  <c r="F249" i="25"/>
  <c r="B219" i="25"/>
  <c r="B249" i="25"/>
  <c r="J221" i="25"/>
  <c r="J251" i="25" s="1"/>
  <c r="F221" i="25"/>
  <c r="F251" i="25"/>
  <c r="B221" i="25"/>
  <c r="B251" i="25"/>
  <c r="J223" i="25"/>
  <c r="J253" i="25"/>
  <c r="F223" i="25"/>
  <c r="F253" i="25" s="1"/>
  <c r="B223" i="25"/>
  <c r="B253" i="25"/>
  <c r="J225" i="25"/>
  <c r="J255" i="25"/>
  <c r="F225" i="25"/>
  <c r="F255" i="25"/>
  <c r="B225" i="25"/>
  <c r="B255" i="25" s="1"/>
  <c r="J227" i="25"/>
  <c r="J257" i="25"/>
  <c r="F227" i="25"/>
  <c r="F257" i="25"/>
  <c r="B227" i="25"/>
  <c r="B257" i="25"/>
  <c r="J231" i="25"/>
  <c r="J261" i="25" s="1"/>
  <c r="F231" i="25"/>
  <c r="F261" i="25"/>
  <c r="B231" i="25"/>
  <c r="B261" i="25"/>
  <c r="J233" i="25"/>
  <c r="J263" i="25"/>
  <c r="F233" i="25"/>
  <c r="F263" i="25" s="1"/>
  <c r="B233" i="25"/>
  <c r="B263" i="25"/>
  <c r="J235" i="25"/>
  <c r="J265" i="25"/>
  <c r="F235" i="25"/>
  <c r="F265" i="25"/>
  <c r="B235" i="25"/>
  <c r="B265" i="25" s="1"/>
  <c r="J237" i="25"/>
  <c r="J267" i="25"/>
  <c r="F237" i="25"/>
  <c r="F267" i="25"/>
  <c r="B237" i="25"/>
  <c r="B267" i="25"/>
  <c r="J239" i="25"/>
  <c r="J269" i="25" s="1"/>
  <c r="F239" i="25"/>
  <c r="F269" i="25"/>
  <c r="B239" i="25"/>
  <c r="B269" i="25"/>
  <c r="J241" i="25"/>
  <c r="J271" i="25"/>
  <c r="F241" i="25"/>
  <c r="F271" i="25" s="1"/>
  <c r="B241" i="25"/>
  <c r="B271" i="25"/>
  <c r="J218" i="25"/>
  <c r="J248" i="25"/>
  <c r="F218" i="25"/>
  <c r="F248" i="25"/>
  <c r="B218" i="25"/>
  <c r="B248" i="25" s="1"/>
  <c r="J220" i="25"/>
  <c r="J250" i="25"/>
  <c r="F220" i="25"/>
  <c r="F250" i="25"/>
  <c r="B220" i="25"/>
  <c r="B250" i="25"/>
  <c r="J222" i="25"/>
  <c r="J252" i="25" s="1"/>
  <c r="F222" i="25"/>
  <c r="F252" i="25"/>
  <c r="B222" i="25"/>
  <c r="B252" i="25"/>
  <c r="J224" i="25"/>
  <c r="J254" i="25"/>
  <c r="F224" i="25"/>
  <c r="F254" i="25" s="1"/>
  <c r="B224" i="25"/>
  <c r="B254" i="25"/>
  <c r="J226" i="25"/>
  <c r="J256" i="25"/>
  <c r="F226" i="25"/>
  <c r="F256" i="25"/>
  <c r="B226" i="25"/>
  <c r="B256" i="25" s="1"/>
  <c r="J228" i="25"/>
  <c r="J258" i="25"/>
  <c r="F228" i="25"/>
  <c r="F258" i="25"/>
  <c r="B228" i="25"/>
  <c r="B258" i="25"/>
  <c r="J230" i="25"/>
  <c r="J260" i="25" s="1"/>
  <c r="F230" i="25"/>
  <c r="F260" i="25"/>
  <c r="B230" i="25"/>
  <c r="B260" i="25"/>
  <c r="J232" i="25"/>
  <c r="J262" i="25"/>
  <c r="F232" i="25"/>
  <c r="F262" i="25" s="1"/>
  <c r="B232" i="25"/>
  <c r="B262" i="25"/>
  <c r="J234" i="25"/>
  <c r="J264" i="25"/>
  <c r="F234" i="25"/>
  <c r="F264" i="25"/>
  <c r="B234" i="25"/>
  <c r="B264" i="25" s="1"/>
  <c r="J236" i="25"/>
  <c r="J266" i="25"/>
  <c r="F236" i="25"/>
  <c r="F266" i="25"/>
  <c r="B236" i="25"/>
  <c r="B266" i="25"/>
  <c r="J238" i="25"/>
  <c r="J268" i="25" s="1"/>
  <c r="F238" i="25"/>
  <c r="F268" i="25"/>
  <c r="B238" i="25"/>
  <c r="B268" i="25"/>
  <c r="J240" i="25"/>
  <c r="J270" i="25"/>
  <c r="F240" i="25"/>
  <c r="F270" i="25" s="1"/>
  <c r="B240" i="25"/>
  <c r="B270" i="25"/>
  <c r="H218" i="25"/>
  <c r="H248" i="25"/>
  <c r="B89" i="21"/>
  <c r="B86" i="21"/>
  <c r="B97" i="21"/>
  <c r="B55" i="21"/>
  <c r="B53" i="21"/>
  <c r="B51" i="21"/>
  <c r="B49" i="21"/>
  <c r="B47" i="21"/>
  <c r="C8" i="21"/>
  <c r="C6" i="21"/>
  <c r="B88" i="21"/>
  <c r="B54" i="21"/>
  <c r="B52" i="21"/>
  <c r="B50" i="21"/>
  <c r="B48" i="21"/>
  <c r="E123" i="21"/>
  <c r="H106" i="21"/>
  <c r="E127" i="21"/>
  <c r="H110" i="21"/>
  <c r="G127" i="21"/>
  <c r="C127" i="21"/>
  <c r="H118" i="21"/>
  <c r="D135" i="21"/>
  <c r="G123" i="21"/>
  <c r="G149" i="21"/>
  <c r="E208" i="21"/>
  <c r="E206" i="21"/>
  <c r="C25" i="21"/>
  <c r="C26" i="21"/>
  <c r="C3" i="21"/>
  <c r="C140" i="21"/>
  <c r="E122" i="21"/>
  <c r="H105" i="21"/>
  <c r="C144" i="21"/>
  <c r="E126" i="21"/>
  <c r="H109" i="21"/>
  <c r="G126" i="21"/>
  <c r="C126" i="21"/>
  <c r="C148" i="21"/>
  <c r="H113" i="21"/>
  <c r="E130" i="21"/>
  <c r="C152" i="21"/>
  <c r="H117" i="21"/>
  <c r="E134" i="21"/>
  <c r="F125" i="21"/>
  <c r="F127" i="21"/>
  <c r="D129" i="21"/>
  <c r="F135" i="21"/>
  <c r="E121" i="21"/>
  <c r="H104" i="21"/>
  <c r="E125" i="21"/>
  <c r="H108" i="21"/>
  <c r="C143" i="21"/>
  <c r="G125" i="21"/>
  <c r="C125" i="21"/>
  <c r="E129" i="21"/>
  <c r="H112" i="21"/>
  <c r="C129" i="21"/>
  <c r="C151" i="21"/>
  <c r="H116" i="21"/>
  <c r="F121" i="21"/>
  <c r="G147" i="21"/>
  <c r="C5" i="21"/>
  <c r="C142" i="21"/>
  <c r="E124" i="21"/>
  <c r="H107" i="21"/>
  <c r="G124" i="21"/>
  <c r="E128" i="21"/>
  <c r="H111" i="21"/>
  <c r="G128" i="21"/>
  <c r="C128" i="21"/>
  <c r="H115" i="21"/>
  <c r="C150" i="21"/>
  <c r="E132" i="21"/>
  <c r="C121" i="21"/>
  <c r="C123" i="21"/>
  <c r="H123" i="21" s="1"/>
  <c r="C124" i="21"/>
  <c r="F128" i="21"/>
  <c r="F132" i="21"/>
  <c r="G131" i="21"/>
  <c r="G133" i="21"/>
  <c r="E139" i="21"/>
  <c r="F139" i="21"/>
  <c r="E141" i="21"/>
  <c r="C141" i="21"/>
  <c r="E146" i="21"/>
  <c r="D146" i="21"/>
  <c r="B4" i="21"/>
  <c r="D121" i="21"/>
  <c r="D122" i="21"/>
  <c r="D123" i="21"/>
  <c r="D124" i="21"/>
  <c r="D125" i="21"/>
  <c r="D126" i="21"/>
  <c r="D127" i="21"/>
  <c r="D128" i="21"/>
  <c r="D131" i="21"/>
  <c r="D133" i="21"/>
  <c r="C139" i="21"/>
  <c r="D141" i="21"/>
  <c r="E142" i="21"/>
  <c r="D142" i="21"/>
  <c r="C146" i="21"/>
  <c r="E151" i="21"/>
  <c r="F151" i="21"/>
  <c r="D151" i="21"/>
  <c r="H160" i="21"/>
  <c r="G130" i="21"/>
  <c r="E131" i="21"/>
  <c r="G132" i="21"/>
  <c r="E133" i="21"/>
  <c r="G134" i="21"/>
  <c r="D139" i="21"/>
  <c r="F141" i="21"/>
  <c r="F146" i="21"/>
  <c r="E147" i="21"/>
  <c r="F147" i="21"/>
  <c r="E149" i="21"/>
  <c r="C149" i="21"/>
  <c r="C130" i="21"/>
  <c r="C131" i="21"/>
  <c r="C132" i="21"/>
  <c r="C133" i="21"/>
  <c r="C134" i="21"/>
  <c r="C135" i="21"/>
  <c r="G129" i="21"/>
  <c r="F129" i="21"/>
  <c r="D130" i="21"/>
  <c r="F131" i="21"/>
  <c r="D132" i="21"/>
  <c r="F133" i="21"/>
  <c r="D134" i="21"/>
  <c r="G135" i="21"/>
  <c r="E135" i="21"/>
  <c r="G139" i="21"/>
  <c r="G141" i="21"/>
  <c r="E143" i="21"/>
  <c r="F143" i="21"/>
  <c r="E145" i="21"/>
  <c r="C145" i="21"/>
  <c r="G146" i="21"/>
  <c r="C147" i="21"/>
  <c r="D149" i="21"/>
  <c r="E150" i="21"/>
  <c r="D150" i="21"/>
  <c r="H241" i="21"/>
  <c r="H271" i="21" s="1"/>
  <c r="B241" i="21"/>
  <c r="B271" i="21"/>
  <c r="J241" i="21"/>
  <c r="J271" i="21" s="1"/>
  <c r="F241" i="21"/>
  <c r="F271" i="21"/>
  <c r="D241" i="21"/>
  <c r="D271" i="21" s="1"/>
  <c r="E153" i="21"/>
  <c r="G153" i="21"/>
  <c r="H237" i="21"/>
  <c r="H267" i="21" s="1"/>
  <c r="B237" i="21"/>
  <c r="B267" i="21"/>
  <c r="J237" i="21"/>
  <c r="J267" i="21" s="1"/>
  <c r="J239" i="21"/>
  <c r="J269" i="21"/>
  <c r="H239" i="21"/>
  <c r="H269" i="21" s="1"/>
  <c r="B239" i="21"/>
  <c r="B269" i="21"/>
  <c r="E140" i="21"/>
  <c r="G140" i="21"/>
  <c r="E144" i="21"/>
  <c r="G144" i="21"/>
  <c r="E148" i="21"/>
  <c r="G148" i="21"/>
  <c r="E152" i="21"/>
  <c r="G152" i="21"/>
  <c r="C153" i="21"/>
  <c r="H233" i="21"/>
  <c r="H263" i="21"/>
  <c r="D233" i="21"/>
  <c r="D263" i="21" s="1"/>
  <c r="J233" i="21"/>
  <c r="J263" i="21" s="1"/>
  <c r="F233" i="21"/>
  <c r="F263" i="21"/>
  <c r="B233" i="21"/>
  <c r="B263" i="21"/>
  <c r="J235" i="21"/>
  <c r="J265" i="21" s="1"/>
  <c r="H235" i="21"/>
  <c r="H265" i="21" s="1"/>
  <c r="B235" i="21"/>
  <c r="B265" i="21"/>
  <c r="D131" i="17"/>
  <c r="H114" i="17"/>
  <c r="G135" i="17"/>
  <c r="H104" i="17"/>
  <c r="D125" i="17"/>
  <c r="H108" i="17"/>
  <c r="D129" i="17"/>
  <c r="H112" i="17"/>
  <c r="D133" i="17"/>
  <c r="H116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D140" i="17"/>
  <c r="J221" i="17"/>
  <c r="J251" i="17" s="1"/>
  <c r="F221" i="17"/>
  <c r="F251" i="17"/>
  <c r="B221" i="17"/>
  <c r="B251" i="17"/>
  <c r="H221" i="17"/>
  <c r="H251" i="17" s="1"/>
  <c r="D221" i="17"/>
  <c r="D251" i="17" s="1"/>
  <c r="J225" i="17"/>
  <c r="J255" i="17"/>
  <c r="F225" i="17"/>
  <c r="F255" i="17"/>
  <c r="B225" i="17"/>
  <c r="B255" i="17" s="1"/>
  <c r="H225" i="17"/>
  <c r="H255" i="17" s="1"/>
  <c r="D225" i="17"/>
  <c r="D255" i="17"/>
  <c r="J230" i="17"/>
  <c r="J260" i="17"/>
  <c r="F230" i="17"/>
  <c r="F260" i="17" s="1"/>
  <c r="B230" i="17"/>
  <c r="B260" i="17" s="1"/>
  <c r="H230" i="17"/>
  <c r="H260" i="17"/>
  <c r="D230" i="17"/>
  <c r="D260" i="17"/>
  <c r="D127" i="17"/>
  <c r="H110" i="17"/>
  <c r="G131" i="17"/>
  <c r="D124" i="17"/>
  <c r="D136" i="17"/>
  <c r="H107" i="17"/>
  <c r="D128" i="17"/>
  <c r="H111" i="17"/>
  <c r="D132" i="17"/>
  <c r="H115" i="17"/>
  <c r="C121" i="17"/>
  <c r="C124" i="17"/>
  <c r="C125" i="17"/>
  <c r="C127" i="17"/>
  <c r="C128" i="17"/>
  <c r="C129" i="17"/>
  <c r="C131" i="17"/>
  <c r="C132" i="17"/>
  <c r="C133" i="17"/>
  <c r="D139" i="17"/>
  <c r="D154" i="17" s="1"/>
  <c r="C2" i="17"/>
  <c r="C3" i="17"/>
  <c r="D123" i="17"/>
  <c r="H123" i="17"/>
  <c r="H106" i="17"/>
  <c r="D135" i="17"/>
  <c r="H118" i="17"/>
  <c r="G123" i="17"/>
  <c r="G127" i="17"/>
  <c r="G136" i="17"/>
  <c r="B4" i="17"/>
  <c r="D122" i="17"/>
  <c r="H105" i="17"/>
  <c r="D126" i="17"/>
  <c r="H109" i="17"/>
  <c r="D130" i="17"/>
  <c r="H130" i="17"/>
  <c r="H113" i="17"/>
  <c r="D134" i="17"/>
  <c r="H117" i="17"/>
  <c r="J234" i="17"/>
  <c r="J264" i="17"/>
  <c r="F234" i="17"/>
  <c r="F264" i="17" s="1"/>
  <c r="B234" i="17"/>
  <c r="B264" i="17"/>
  <c r="H234" i="17"/>
  <c r="H264" i="17" s="1"/>
  <c r="D234" i="17"/>
  <c r="D264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J220" i="17"/>
  <c r="J250" i="17"/>
  <c r="F220" i="17"/>
  <c r="F250" i="17" s="1"/>
  <c r="B220" i="17"/>
  <c r="B250" i="17"/>
  <c r="J224" i="17"/>
  <c r="J254" i="17"/>
  <c r="F224" i="17"/>
  <c r="F254" i="17"/>
  <c r="B224" i="17"/>
  <c r="B254" i="17" s="1"/>
  <c r="J236" i="17"/>
  <c r="J266" i="17"/>
  <c r="F236" i="17"/>
  <c r="F266" i="17"/>
  <c r="B236" i="17"/>
  <c r="B266" i="17"/>
  <c r="H236" i="17"/>
  <c r="H266" i="17" s="1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C139" i="17"/>
  <c r="G139" i="17"/>
  <c r="C140" i="17"/>
  <c r="G140" i="17"/>
  <c r="C141" i="17"/>
  <c r="H141" i="17"/>
  <c r="G141" i="17"/>
  <c r="C142" i="17"/>
  <c r="G142" i="17"/>
  <c r="C143" i="17"/>
  <c r="H143" i="17"/>
  <c r="G143" i="17"/>
  <c r="C144" i="17"/>
  <c r="G144" i="17"/>
  <c r="C145" i="17"/>
  <c r="H145" i="17" s="1"/>
  <c r="G145" i="17"/>
  <c r="C146" i="17"/>
  <c r="G146" i="17"/>
  <c r="C147" i="17"/>
  <c r="H147" i="17"/>
  <c r="G147" i="17"/>
  <c r="C148" i="17"/>
  <c r="G148" i="17"/>
  <c r="C149" i="17"/>
  <c r="H149" i="17"/>
  <c r="G149" i="17"/>
  <c r="C150" i="17"/>
  <c r="G150" i="17"/>
  <c r="C151" i="17"/>
  <c r="H151" i="17"/>
  <c r="G151" i="17"/>
  <c r="C152" i="17"/>
  <c r="G152" i="17"/>
  <c r="C153" i="17"/>
  <c r="H153" i="17" s="1"/>
  <c r="G153" i="17"/>
  <c r="J219" i="17"/>
  <c r="J249" i="17"/>
  <c r="F219" i="17"/>
  <c r="F249" i="17" s="1"/>
  <c r="B219" i="17"/>
  <c r="B249" i="17"/>
  <c r="J223" i="17"/>
  <c r="J253" i="17"/>
  <c r="F223" i="17"/>
  <c r="F253" i="17"/>
  <c r="B223" i="17"/>
  <c r="B253" i="17" s="1"/>
  <c r="J238" i="17"/>
  <c r="J268" i="17"/>
  <c r="F238" i="17"/>
  <c r="F268" i="17"/>
  <c r="B238" i="17"/>
  <c r="B268" i="17"/>
  <c r="H238" i="17"/>
  <c r="H268" i="17" s="1"/>
  <c r="J218" i="17"/>
  <c r="J248" i="17"/>
  <c r="F218" i="17"/>
  <c r="F248" i="17"/>
  <c r="B218" i="17"/>
  <c r="B248" i="17"/>
  <c r="D220" i="17"/>
  <c r="D250" i="17" s="1"/>
  <c r="J222" i="17"/>
  <c r="J252" i="17"/>
  <c r="F222" i="17"/>
  <c r="F252" i="17"/>
  <c r="B222" i="17"/>
  <c r="B252" i="17"/>
  <c r="D224" i="17"/>
  <c r="D254" i="17" s="1"/>
  <c r="J226" i="17"/>
  <c r="J256" i="17"/>
  <c r="F226" i="17"/>
  <c r="F256" i="17"/>
  <c r="B226" i="17"/>
  <c r="B256" i="17"/>
  <c r="J240" i="17"/>
  <c r="J270" i="17" s="1"/>
  <c r="F240" i="17"/>
  <c r="F270" i="17"/>
  <c r="B240" i="17"/>
  <c r="B270" i="17"/>
  <c r="H240" i="17"/>
  <c r="H270" i="17"/>
  <c r="H231" i="17"/>
  <c r="H261" i="17" s="1"/>
  <c r="J232" i="17"/>
  <c r="J262" i="17"/>
  <c r="F232" i="17"/>
  <c r="F262" i="17"/>
  <c r="B232" i="17"/>
  <c r="B262" i="17"/>
  <c r="J233" i="17"/>
  <c r="J263" i="17" s="1"/>
  <c r="F233" i="17"/>
  <c r="F263" i="17"/>
  <c r="B233" i="17"/>
  <c r="B263" i="17"/>
  <c r="J235" i="17"/>
  <c r="J265" i="17" s="1"/>
  <c r="F235" i="17"/>
  <c r="F265" i="17" s="1"/>
  <c r="B235" i="17"/>
  <c r="B265" i="17"/>
  <c r="J237" i="17"/>
  <c r="J267" i="17"/>
  <c r="F237" i="17"/>
  <c r="F267" i="17" s="1"/>
  <c r="B237" i="17"/>
  <c r="B267" i="17" s="1"/>
  <c r="J239" i="17"/>
  <c r="J269" i="17"/>
  <c r="F239" i="17"/>
  <c r="F269" i="17"/>
  <c r="B239" i="17"/>
  <c r="B269" i="17" s="1"/>
  <c r="H232" i="17"/>
  <c r="H262" i="17" s="1"/>
  <c r="J231" i="17"/>
  <c r="J261" i="17"/>
  <c r="F231" i="17"/>
  <c r="F261" i="17"/>
  <c r="B231" i="17"/>
  <c r="B261" i="17" s="1"/>
  <c r="B241" i="17"/>
  <c r="B271" i="17" s="1"/>
  <c r="F241" i="17"/>
  <c r="F271" i="17"/>
  <c r="C121" i="13"/>
  <c r="C123" i="13"/>
  <c r="G124" i="13"/>
  <c r="C125" i="13"/>
  <c r="C127" i="13"/>
  <c r="G128" i="13"/>
  <c r="C129" i="13"/>
  <c r="C131" i="13"/>
  <c r="C133" i="13"/>
  <c r="G134" i="13"/>
  <c r="E154" i="13"/>
  <c r="J224" i="13"/>
  <c r="J254" i="13" s="1"/>
  <c r="D224" i="13"/>
  <c r="D254" i="13"/>
  <c r="J232" i="13"/>
  <c r="J262" i="13" s="1"/>
  <c r="D232" i="13"/>
  <c r="D262" i="13"/>
  <c r="C2" i="13"/>
  <c r="H106" i="13"/>
  <c r="H107" i="13"/>
  <c r="H109" i="13"/>
  <c r="H111" i="13"/>
  <c r="H112" i="13"/>
  <c r="H113" i="13"/>
  <c r="H114" i="13"/>
  <c r="H115" i="13"/>
  <c r="H116" i="13"/>
  <c r="H117" i="13"/>
  <c r="H118" i="13"/>
  <c r="D121" i="13"/>
  <c r="F122" i="13"/>
  <c r="D123" i="13"/>
  <c r="F124" i="13"/>
  <c r="D125" i="13"/>
  <c r="F126" i="13"/>
  <c r="D127" i="13"/>
  <c r="F128" i="13"/>
  <c r="D129" i="13"/>
  <c r="F130" i="13"/>
  <c r="D131" i="13"/>
  <c r="F132" i="13"/>
  <c r="D133" i="13"/>
  <c r="F134" i="13"/>
  <c r="D135" i="13"/>
  <c r="H135" i="13"/>
  <c r="F154" i="13"/>
  <c r="B224" i="13"/>
  <c r="B254" i="13"/>
  <c r="D225" i="13"/>
  <c r="D255" i="13" s="1"/>
  <c r="H225" i="13"/>
  <c r="H255" i="13" s="1"/>
  <c r="B225" i="13"/>
  <c r="B255" i="13"/>
  <c r="B232" i="13"/>
  <c r="B262" i="13"/>
  <c r="B4" i="13"/>
  <c r="G121" i="13"/>
  <c r="C122" i="13"/>
  <c r="C124" i="13"/>
  <c r="G125" i="13"/>
  <c r="C126" i="13"/>
  <c r="G127" i="13"/>
  <c r="C128" i="13"/>
  <c r="C130" i="13"/>
  <c r="C132" i="13"/>
  <c r="C134" i="13"/>
  <c r="G135" i="13"/>
  <c r="J220" i="13"/>
  <c r="J250" i="13"/>
  <c r="D220" i="13"/>
  <c r="D250" i="13"/>
  <c r="F224" i="13"/>
  <c r="F254" i="13" s="1"/>
  <c r="J228" i="13"/>
  <c r="J258" i="13" s="1"/>
  <c r="D228" i="13"/>
  <c r="D258" i="13"/>
  <c r="F232" i="13"/>
  <c r="F262" i="13"/>
  <c r="J239" i="13"/>
  <c r="J269" i="13" s="1"/>
  <c r="D239" i="13"/>
  <c r="D269" i="13" s="1"/>
  <c r="H239" i="13"/>
  <c r="H269" i="13"/>
  <c r="B239" i="13"/>
  <c r="B269" i="13"/>
  <c r="G122" i="13"/>
  <c r="G126" i="13"/>
  <c r="G130" i="13"/>
  <c r="G132" i="13"/>
  <c r="F234" i="13"/>
  <c r="F264" i="13"/>
  <c r="J234" i="13"/>
  <c r="J264" i="13"/>
  <c r="H234" i="13"/>
  <c r="H264" i="13" s="1"/>
  <c r="B234" i="13"/>
  <c r="B264" i="13" s="1"/>
  <c r="H105" i="13"/>
  <c r="F121" i="13"/>
  <c r="F123" i="13"/>
  <c r="F125" i="13"/>
  <c r="F127" i="13"/>
  <c r="F129" i="13"/>
  <c r="F131" i="13"/>
  <c r="F133" i="13"/>
  <c r="F135" i="13"/>
  <c r="D139" i="13"/>
  <c r="G139" i="13"/>
  <c r="C139" i="13"/>
  <c r="D140" i="13"/>
  <c r="G140" i="13"/>
  <c r="C140" i="13"/>
  <c r="D141" i="13"/>
  <c r="G141" i="13"/>
  <c r="C141" i="13"/>
  <c r="D142" i="13"/>
  <c r="G142" i="13"/>
  <c r="C142" i="13"/>
  <c r="D143" i="13"/>
  <c r="G143" i="13"/>
  <c r="C143" i="13"/>
  <c r="D144" i="13"/>
  <c r="G144" i="13"/>
  <c r="C144" i="13"/>
  <c r="D145" i="13"/>
  <c r="G145" i="13"/>
  <c r="C145" i="13"/>
  <c r="H145" i="13" s="1"/>
  <c r="D146" i="13"/>
  <c r="G146" i="13"/>
  <c r="C146" i="13"/>
  <c r="D147" i="13"/>
  <c r="G147" i="13"/>
  <c r="C147" i="13"/>
  <c r="D148" i="13"/>
  <c r="G148" i="13"/>
  <c r="C148" i="13"/>
  <c r="D149" i="13"/>
  <c r="G149" i="13"/>
  <c r="C149" i="13"/>
  <c r="D150" i="13"/>
  <c r="G150" i="13"/>
  <c r="C150" i="13"/>
  <c r="D151" i="13"/>
  <c r="G151" i="13"/>
  <c r="C151" i="13"/>
  <c r="D152" i="13"/>
  <c r="G152" i="13"/>
  <c r="C152" i="13"/>
  <c r="D153" i="13"/>
  <c r="G153" i="13"/>
  <c r="C153" i="13"/>
  <c r="H153" i="13" s="1"/>
  <c r="D221" i="13"/>
  <c r="D251" i="13"/>
  <c r="H221" i="13"/>
  <c r="H251" i="13"/>
  <c r="B221" i="13"/>
  <c r="B251" i="13" s="1"/>
  <c r="H224" i="13"/>
  <c r="H254" i="13" s="1"/>
  <c r="F225" i="13"/>
  <c r="F255" i="13" s="1"/>
  <c r="H232" i="13"/>
  <c r="H262" i="13"/>
  <c r="F238" i="13"/>
  <c r="F268" i="13" s="1"/>
  <c r="H238" i="13"/>
  <c r="H268" i="13" s="1"/>
  <c r="B238" i="13"/>
  <c r="B268" i="13" s="1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D240" i="13"/>
  <c r="D270" i="13" s="1"/>
  <c r="J235" i="13"/>
  <c r="J265" i="13"/>
  <c r="D235" i="13"/>
  <c r="D265" i="13" s="1"/>
  <c r="B89" i="9"/>
  <c r="B86" i="9"/>
  <c r="B97" i="9"/>
  <c r="B55" i="9"/>
  <c r="B53" i="9"/>
  <c r="B51" i="9"/>
  <c r="B49" i="9"/>
  <c r="B47" i="9"/>
  <c r="B50" i="9"/>
  <c r="B48" i="9"/>
  <c r="B88" i="9"/>
  <c r="B54" i="9"/>
  <c r="B52" i="9"/>
  <c r="H105" i="9"/>
  <c r="D142" i="9"/>
  <c r="E124" i="9"/>
  <c r="H107" i="9"/>
  <c r="H108" i="9"/>
  <c r="E128" i="9"/>
  <c r="D146" i="9"/>
  <c r="H112" i="9"/>
  <c r="H114" i="9"/>
  <c r="D150" i="9"/>
  <c r="E132" i="9"/>
  <c r="H115" i="9"/>
  <c r="H116" i="9"/>
  <c r="H117" i="9"/>
  <c r="H118" i="9"/>
  <c r="D139" i="9"/>
  <c r="E145" i="9"/>
  <c r="F145" i="9"/>
  <c r="D145" i="9"/>
  <c r="C145" i="9"/>
  <c r="D147" i="9"/>
  <c r="E153" i="9"/>
  <c r="F153" i="9"/>
  <c r="D153" i="9"/>
  <c r="C153" i="9"/>
  <c r="G145" i="9"/>
  <c r="G153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E141" i="9"/>
  <c r="F141" i="9"/>
  <c r="D141" i="9"/>
  <c r="C141" i="9"/>
  <c r="D143" i="9"/>
  <c r="E149" i="9"/>
  <c r="F149" i="9"/>
  <c r="C149" i="9"/>
  <c r="D149" i="9"/>
  <c r="D151" i="9"/>
  <c r="H104" i="9"/>
  <c r="H106" i="9"/>
  <c r="H109" i="9"/>
  <c r="H110" i="9"/>
  <c r="H111" i="9"/>
  <c r="H113" i="9"/>
  <c r="E206" i="9"/>
  <c r="E208" i="9"/>
  <c r="G122" i="9"/>
  <c r="G123" i="9"/>
  <c r="G124" i="9"/>
  <c r="G126" i="9"/>
  <c r="G127" i="9"/>
  <c r="G128" i="9"/>
  <c r="G130" i="9"/>
  <c r="G131" i="9"/>
  <c r="G132" i="9"/>
  <c r="G134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E140" i="9"/>
  <c r="E144" i="9"/>
  <c r="G144" i="9"/>
  <c r="G148" i="9"/>
  <c r="E152" i="9"/>
  <c r="J220" i="9"/>
  <c r="J250" i="9" s="1"/>
  <c r="F220" i="9"/>
  <c r="F250" i="9" s="1"/>
  <c r="B220" i="9"/>
  <c r="B250" i="9"/>
  <c r="D220" i="9"/>
  <c r="D250" i="9" s="1"/>
  <c r="G135" i="9"/>
  <c r="F135" i="9"/>
  <c r="E139" i="9"/>
  <c r="G139" i="9"/>
  <c r="C140" i="9"/>
  <c r="C154" i="9"/>
  <c r="E143" i="9"/>
  <c r="H143" i="9"/>
  <c r="G143" i="9"/>
  <c r="C144" i="9"/>
  <c r="E147" i="9"/>
  <c r="G147" i="9"/>
  <c r="E151" i="9"/>
  <c r="H151" i="9"/>
  <c r="G151" i="9"/>
  <c r="C152" i="9"/>
  <c r="J221" i="9"/>
  <c r="J251" i="9" s="1"/>
  <c r="F221" i="9"/>
  <c r="F251" i="9" s="1"/>
  <c r="B221" i="9"/>
  <c r="B251" i="9"/>
  <c r="D221" i="9"/>
  <c r="D251" i="9" s="1"/>
  <c r="H221" i="9"/>
  <c r="H251" i="9" s="1"/>
  <c r="J224" i="9"/>
  <c r="J254" i="9" s="1"/>
  <c r="F224" i="9"/>
  <c r="F254" i="9"/>
  <c r="B224" i="9"/>
  <c r="B254" i="9" s="1"/>
  <c r="D224" i="9"/>
  <c r="D254" i="9" s="1"/>
  <c r="J228" i="9"/>
  <c r="J258" i="9" s="1"/>
  <c r="F228" i="9"/>
  <c r="F258" i="9"/>
  <c r="B228" i="9"/>
  <c r="B258" i="9" s="1"/>
  <c r="D228" i="9"/>
  <c r="D258" i="9" s="1"/>
  <c r="J232" i="9"/>
  <c r="J262" i="9" s="1"/>
  <c r="F232" i="9"/>
  <c r="F262" i="9"/>
  <c r="B232" i="9"/>
  <c r="B262" i="9" s="1"/>
  <c r="D232" i="9"/>
  <c r="D262" i="9" s="1"/>
  <c r="J236" i="9"/>
  <c r="J266" i="9" s="1"/>
  <c r="F236" i="9"/>
  <c r="F266" i="9"/>
  <c r="B236" i="9"/>
  <c r="B266" i="9" s="1"/>
  <c r="D236" i="9"/>
  <c r="D266" i="9" s="1"/>
  <c r="J240" i="9"/>
  <c r="J270" i="9" s="1"/>
  <c r="F240" i="9"/>
  <c r="F270" i="9"/>
  <c r="B240" i="9"/>
  <c r="B270" i="9" s="1"/>
  <c r="D240" i="9"/>
  <c r="D270" i="9" s="1"/>
  <c r="G140" i="9"/>
  <c r="E148" i="9"/>
  <c r="G152" i="9"/>
  <c r="C121" i="9"/>
  <c r="G121" i="9"/>
  <c r="C122" i="9"/>
  <c r="C123" i="9"/>
  <c r="H123" i="9" s="1"/>
  <c r="C124" i="9"/>
  <c r="C125" i="9"/>
  <c r="G125" i="9"/>
  <c r="C126" i="9"/>
  <c r="C127" i="9"/>
  <c r="H127" i="9" s="1"/>
  <c r="C128" i="9"/>
  <c r="C129" i="9"/>
  <c r="G129" i="9"/>
  <c r="C130" i="9"/>
  <c r="C131" i="9"/>
  <c r="C132" i="9"/>
  <c r="C133" i="9"/>
  <c r="G133" i="9"/>
  <c r="C134" i="9"/>
  <c r="H134" i="9" s="1"/>
  <c r="D140" i="9"/>
  <c r="E142" i="9"/>
  <c r="G142" i="9"/>
  <c r="D144" i="9"/>
  <c r="E146" i="9"/>
  <c r="G146" i="9"/>
  <c r="D148" i="9"/>
  <c r="H148" i="9"/>
  <c r="E150" i="9"/>
  <c r="G150" i="9"/>
  <c r="D152" i="9"/>
  <c r="J225" i="9"/>
  <c r="J255" i="9"/>
  <c r="F225" i="9"/>
  <c r="F255" i="9" s="1"/>
  <c r="B225" i="9"/>
  <c r="B255" i="9"/>
  <c r="D225" i="9"/>
  <c r="D255" i="9" s="1"/>
  <c r="H225" i="9"/>
  <c r="H255" i="9"/>
  <c r="J229" i="9"/>
  <c r="J259" i="9" s="1"/>
  <c r="F229" i="9"/>
  <c r="F259" i="9"/>
  <c r="B229" i="9"/>
  <c r="B259" i="9" s="1"/>
  <c r="D229" i="9"/>
  <c r="D259" i="9"/>
  <c r="H229" i="9"/>
  <c r="H259" i="9" s="1"/>
  <c r="J233" i="9"/>
  <c r="J263" i="9"/>
  <c r="F233" i="9"/>
  <c r="F263" i="9" s="1"/>
  <c r="B233" i="9"/>
  <c r="B263" i="9"/>
  <c r="D233" i="9"/>
  <c r="D263" i="9" s="1"/>
  <c r="H233" i="9"/>
  <c r="H263" i="9"/>
  <c r="J237" i="9"/>
  <c r="J267" i="9" s="1"/>
  <c r="F237" i="9"/>
  <c r="F267" i="9"/>
  <c r="B237" i="9"/>
  <c r="B267" i="9" s="1"/>
  <c r="D237" i="9"/>
  <c r="D267" i="9"/>
  <c r="H237" i="9"/>
  <c r="H267" i="9" s="1"/>
  <c r="J241" i="9"/>
  <c r="J271" i="9"/>
  <c r="F241" i="9"/>
  <c r="F271" i="9" s="1"/>
  <c r="B241" i="9"/>
  <c r="B271" i="9"/>
  <c r="D241" i="9"/>
  <c r="D271" i="9" s="1"/>
  <c r="H241" i="9"/>
  <c r="H271" i="9"/>
  <c r="J218" i="9"/>
  <c r="J248" i="9" s="1"/>
  <c r="F218" i="9"/>
  <c r="F248" i="9"/>
  <c r="B218" i="9"/>
  <c r="B248" i="9" s="1"/>
  <c r="J222" i="9"/>
  <c r="J252" i="9"/>
  <c r="F222" i="9"/>
  <c r="F252" i="9" s="1"/>
  <c r="B222" i="9"/>
  <c r="B252" i="9"/>
  <c r="J226" i="9"/>
  <c r="J256" i="9" s="1"/>
  <c r="F226" i="9"/>
  <c r="F256" i="9"/>
  <c r="B226" i="9"/>
  <c r="B256" i="9" s="1"/>
  <c r="J230" i="9"/>
  <c r="J260" i="9"/>
  <c r="F230" i="9"/>
  <c r="F260" i="9" s="1"/>
  <c r="B230" i="9"/>
  <c r="B260" i="9"/>
  <c r="J234" i="9"/>
  <c r="J264" i="9" s="1"/>
  <c r="F234" i="9"/>
  <c r="F264" i="9"/>
  <c r="B234" i="9"/>
  <c r="B264" i="9" s="1"/>
  <c r="J238" i="9"/>
  <c r="J268" i="9"/>
  <c r="F238" i="9"/>
  <c r="F268" i="9" s="1"/>
  <c r="B238" i="9"/>
  <c r="B268" i="9"/>
  <c r="J219" i="9"/>
  <c r="J249" i="9" s="1"/>
  <c r="F219" i="9"/>
  <c r="F249" i="9"/>
  <c r="B219" i="9"/>
  <c r="B249" i="9" s="1"/>
  <c r="J223" i="9"/>
  <c r="J253" i="9"/>
  <c r="F223" i="9"/>
  <c r="F253" i="9" s="1"/>
  <c r="B223" i="9"/>
  <c r="B253" i="9"/>
  <c r="H226" i="9"/>
  <c r="H256" i="9" s="1"/>
  <c r="J227" i="9"/>
  <c r="J257" i="9"/>
  <c r="F227" i="9"/>
  <c r="F257" i="9" s="1"/>
  <c r="B227" i="9"/>
  <c r="B257" i="9"/>
  <c r="H230" i="9"/>
  <c r="H260" i="9" s="1"/>
  <c r="J231" i="9"/>
  <c r="J261" i="9"/>
  <c r="F231" i="9"/>
  <c r="F261" i="9" s="1"/>
  <c r="B231" i="9"/>
  <c r="B261" i="9"/>
  <c r="H234" i="9"/>
  <c r="H264" i="9" s="1"/>
  <c r="J235" i="9"/>
  <c r="J265" i="9"/>
  <c r="F235" i="9"/>
  <c r="F265" i="9" s="1"/>
  <c r="B235" i="9"/>
  <c r="B265" i="9"/>
  <c r="H238" i="9"/>
  <c r="H268" i="9" s="1"/>
  <c r="J239" i="9"/>
  <c r="J269" i="9"/>
  <c r="F239" i="9"/>
  <c r="F269" i="9" s="1"/>
  <c r="B239" i="9"/>
  <c r="B269" i="9"/>
  <c r="E209" i="5"/>
  <c r="E121" i="5"/>
  <c r="G121" i="5"/>
  <c r="F123" i="5"/>
  <c r="D124" i="5"/>
  <c r="E125" i="5"/>
  <c r="G125" i="5"/>
  <c r="F127" i="5"/>
  <c r="E129" i="5"/>
  <c r="G129" i="5"/>
  <c r="E133" i="5"/>
  <c r="G133" i="5"/>
  <c r="D140" i="5"/>
  <c r="G141" i="5"/>
  <c r="C141" i="5"/>
  <c r="E141" i="5"/>
  <c r="D144" i="5"/>
  <c r="G145" i="5"/>
  <c r="C145" i="5"/>
  <c r="E145" i="5"/>
  <c r="D148" i="5"/>
  <c r="G149" i="5"/>
  <c r="C149" i="5"/>
  <c r="E149" i="5"/>
  <c r="D152" i="5"/>
  <c r="G153" i="5"/>
  <c r="C153" i="5"/>
  <c r="E153" i="5"/>
  <c r="J227" i="5"/>
  <c r="J257" i="5" s="1"/>
  <c r="F227" i="5"/>
  <c r="F257" i="5" s="1"/>
  <c r="B227" i="5"/>
  <c r="B257" i="5" s="1"/>
  <c r="H227" i="5"/>
  <c r="H257" i="5" s="1"/>
  <c r="B4" i="5"/>
  <c r="D121" i="5"/>
  <c r="E122" i="5"/>
  <c r="G122" i="5"/>
  <c r="D125" i="5"/>
  <c r="F125" i="5"/>
  <c r="H125" i="5"/>
  <c r="E126" i="5"/>
  <c r="G126" i="5"/>
  <c r="D126" i="5"/>
  <c r="H126" i="5"/>
  <c r="D129" i="5"/>
  <c r="E130" i="5"/>
  <c r="G130" i="5"/>
  <c r="D133" i="5"/>
  <c r="E134" i="5"/>
  <c r="G134" i="5"/>
  <c r="D141" i="5"/>
  <c r="G142" i="5"/>
  <c r="C142" i="5"/>
  <c r="E142" i="5"/>
  <c r="D145" i="5"/>
  <c r="G146" i="5"/>
  <c r="C146" i="5"/>
  <c r="E146" i="5"/>
  <c r="D149" i="5"/>
  <c r="G150" i="5"/>
  <c r="C150" i="5"/>
  <c r="E150" i="5"/>
  <c r="D153" i="5"/>
  <c r="J221" i="5"/>
  <c r="J251" i="5"/>
  <c r="F221" i="5"/>
  <c r="F251" i="5" s="1"/>
  <c r="B221" i="5"/>
  <c r="B251" i="5" s="1"/>
  <c r="H221" i="5"/>
  <c r="H251" i="5" s="1"/>
  <c r="D227" i="5"/>
  <c r="D257" i="5" s="1"/>
  <c r="E206" i="5"/>
  <c r="C11" i="5"/>
  <c r="C12" i="5" s="1"/>
  <c r="H105" i="5"/>
  <c r="H107" i="5"/>
  <c r="H109" i="5"/>
  <c r="H111" i="5"/>
  <c r="H113" i="5"/>
  <c r="H115" i="5"/>
  <c r="H117" i="5"/>
  <c r="F121" i="5"/>
  <c r="D122" i="5"/>
  <c r="H122" i="5"/>
  <c r="E123" i="5"/>
  <c r="G123" i="5"/>
  <c r="E127" i="5"/>
  <c r="G127" i="5"/>
  <c r="F129" i="5"/>
  <c r="D130" i="5"/>
  <c r="E131" i="5"/>
  <c r="G131" i="5"/>
  <c r="F133" i="5"/>
  <c r="D134" i="5"/>
  <c r="H134" i="5"/>
  <c r="E135" i="5"/>
  <c r="G135" i="5"/>
  <c r="G139" i="5"/>
  <c r="C139" i="5"/>
  <c r="E139" i="5"/>
  <c r="F141" i="5"/>
  <c r="G143" i="5"/>
  <c r="C143" i="5"/>
  <c r="E143" i="5"/>
  <c r="F145" i="5"/>
  <c r="G147" i="5"/>
  <c r="C147" i="5"/>
  <c r="E147" i="5"/>
  <c r="F149" i="5"/>
  <c r="G151" i="5"/>
  <c r="C151" i="5"/>
  <c r="E151" i="5"/>
  <c r="F153" i="5"/>
  <c r="J219" i="5"/>
  <c r="J249" i="5" s="1"/>
  <c r="F219" i="5"/>
  <c r="F249" i="5" s="1"/>
  <c r="B219" i="5"/>
  <c r="B249" i="5" s="1"/>
  <c r="H219" i="5"/>
  <c r="H249" i="5" s="1"/>
  <c r="J225" i="5"/>
  <c r="J255" i="5" s="1"/>
  <c r="F225" i="5"/>
  <c r="F255" i="5" s="1"/>
  <c r="B225" i="5"/>
  <c r="B255" i="5" s="1"/>
  <c r="H225" i="5"/>
  <c r="H255" i="5" s="1"/>
  <c r="D123" i="5"/>
  <c r="E124" i="5"/>
  <c r="G124" i="5"/>
  <c r="D127" i="5"/>
  <c r="E128" i="5"/>
  <c r="G128" i="5"/>
  <c r="D131" i="5"/>
  <c r="E132" i="5"/>
  <c r="G132" i="5"/>
  <c r="D135" i="5"/>
  <c r="D139" i="5"/>
  <c r="G140" i="5"/>
  <c r="C140" i="5"/>
  <c r="E140" i="5"/>
  <c r="D143" i="5"/>
  <c r="G144" i="5"/>
  <c r="C144" i="5"/>
  <c r="E144" i="5"/>
  <c r="D147" i="5"/>
  <c r="G148" i="5"/>
  <c r="C148" i="5"/>
  <c r="E148" i="5"/>
  <c r="D151" i="5"/>
  <c r="G152" i="5"/>
  <c r="C152" i="5"/>
  <c r="H152" i="5" s="1"/>
  <c r="E152" i="5"/>
  <c r="D219" i="5"/>
  <c r="D249" i="5" s="1"/>
  <c r="J223" i="5"/>
  <c r="J253" i="5" s="1"/>
  <c r="F223" i="5"/>
  <c r="F253" i="5" s="1"/>
  <c r="B223" i="5"/>
  <c r="B253" i="5" s="1"/>
  <c r="H223" i="5"/>
  <c r="H253" i="5" s="1"/>
  <c r="D225" i="5"/>
  <c r="D255" i="5" s="1"/>
  <c r="J218" i="5"/>
  <c r="J248" i="5" s="1"/>
  <c r="F218" i="5"/>
  <c r="F248" i="5" s="1"/>
  <c r="B218" i="5"/>
  <c r="B248" i="5" s="1"/>
  <c r="J222" i="5"/>
  <c r="J252" i="5" s="1"/>
  <c r="F222" i="5"/>
  <c r="F252" i="5" s="1"/>
  <c r="B222" i="5"/>
  <c r="B252" i="5" s="1"/>
  <c r="J226" i="5"/>
  <c r="J256" i="5" s="1"/>
  <c r="F226" i="5"/>
  <c r="F256" i="5" s="1"/>
  <c r="B226" i="5"/>
  <c r="B256" i="5" s="1"/>
  <c r="D218" i="5"/>
  <c r="D248" i="5" s="1"/>
  <c r="J220" i="5"/>
  <c r="J250" i="5" s="1"/>
  <c r="F220" i="5"/>
  <c r="F250" i="5" s="1"/>
  <c r="B220" i="5"/>
  <c r="B250" i="5" s="1"/>
  <c r="D222" i="5"/>
  <c r="D252" i="5" s="1"/>
  <c r="J224" i="5"/>
  <c r="J254" i="5" s="1"/>
  <c r="F224" i="5"/>
  <c r="F254" i="5" s="1"/>
  <c r="B224" i="5"/>
  <c r="B254" i="5" s="1"/>
  <c r="D226" i="5"/>
  <c r="D256" i="5" s="1"/>
  <c r="J228" i="5"/>
  <c r="J258" i="5" s="1"/>
  <c r="F228" i="5"/>
  <c r="F258" i="5"/>
  <c r="B228" i="5"/>
  <c r="B258" i="5" s="1"/>
  <c r="B230" i="5"/>
  <c r="B260" i="5" s="1"/>
  <c r="F230" i="5"/>
  <c r="F260" i="5" s="1"/>
  <c r="B231" i="5"/>
  <c r="B261" i="5" s="1"/>
  <c r="F231" i="5"/>
  <c r="F261" i="5" s="1"/>
  <c r="B232" i="5"/>
  <c r="B262" i="5" s="1"/>
  <c r="F232" i="5"/>
  <c r="F262" i="5" s="1"/>
  <c r="B233" i="5"/>
  <c r="B263" i="5"/>
  <c r="F233" i="5"/>
  <c r="F263" i="5" s="1"/>
  <c r="B234" i="5"/>
  <c r="B264" i="5" s="1"/>
  <c r="F234" i="5"/>
  <c r="F264" i="5" s="1"/>
  <c r="B235" i="5"/>
  <c r="B265" i="5" s="1"/>
  <c r="F235" i="5"/>
  <c r="F265" i="5" s="1"/>
  <c r="B236" i="5"/>
  <c r="B266" i="5" s="1"/>
  <c r="F236" i="5"/>
  <c r="F266" i="5" s="1"/>
  <c r="H144" i="5"/>
  <c r="H123" i="5"/>
  <c r="H130" i="5"/>
  <c r="H147" i="21"/>
  <c r="G136" i="21"/>
  <c r="H149" i="21"/>
  <c r="H133" i="25"/>
  <c r="D154" i="25"/>
  <c r="H134" i="33"/>
  <c r="H132" i="5"/>
  <c r="H133" i="5"/>
  <c r="H124" i="5"/>
  <c r="H131" i="9"/>
  <c r="H150" i="13"/>
  <c r="H142" i="13"/>
  <c r="H125" i="13"/>
  <c r="H150" i="17"/>
  <c r="H146" i="17"/>
  <c r="H142" i="17"/>
  <c r="H134" i="17"/>
  <c r="H126" i="17"/>
  <c r="H122" i="21"/>
  <c r="H131" i="25"/>
  <c r="H147" i="25"/>
  <c r="C154" i="25"/>
  <c r="H154" i="25" s="1"/>
  <c r="H124" i="25"/>
  <c r="H125" i="29"/>
  <c r="H124" i="29"/>
  <c r="H152" i="29"/>
  <c r="H144" i="29"/>
  <c r="H123" i="29"/>
  <c r="H126" i="29"/>
  <c r="H128" i="33"/>
  <c r="H127" i="37"/>
  <c r="H135" i="5"/>
  <c r="H131" i="5"/>
  <c r="H130" i="9"/>
  <c r="H124" i="9"/>
  <c r="E136" i="9"/>
  <c r="H145" i="21"/>
  <c r="H125" i="21"/>
  <c r="F136" i="29"/>
  <c r="H133" i="33"/>
  <c r="H127" i="33"/>
  <c r="H135" i="37"/>
  <c r="H126" i="37"/>
  <c r="H148" i="5"/>
  <c r="H140" i="5"/>
  <c r="H128" i="5"/>
  <c r="H129" i="5"/>
  <c r="H121" i="5"/>
  <c r="F154" i="9"/>
  <c r="H149" i="13"/>
  <c r="H141" i="13"/>
  <c r="H122" i="17"/>
  <c r="H129" i="17"/>
  <c r="H125" i="25"/>
  <c r="H151" i="25"/>
  <c r="H134" i="25"/>
  <c r="H122" i="29"/>
  <c r="H123" i="37"/>
  <c r="H127" i="5"/>
  <c r="H146" i="13"/>
  <c r="H131" i="13"/>
  <c r="H152" i="17"/>
  <c r="H148" i="17"/>
  <c r="H144" i="17"/>
  <c r="H140" i="17"/>
  <c r="H135" i="17"/>
  <c r="F154" i="5"/>
  <c r="H147" i="9"/>
  <c r="H135" i="9"/>
  <c r="H146" i="9"/>
  <c r="H126" i="13"/>
  <c r="H150" i="21"/>
  <c r="H135" i="25"/>
  <c r="H143" i="25"/>
  <c r="H130" i="25"/>
  <c r="H127" i="29"/>
  <c r="H130" i="29"/>
  <c r="H130" i="33"/>
  <c r="H125" i="33"/>
  <c r="H151" i="33"/>
  <c r="H132" i="37"/>
  <c r="H124" i="37"/>
  <c r="H142" i="21"/>
  <c r="F154" i="25"/>
  <c r="H128" i="25"/>
  <c r="H153" i="29"/>
  <c r="H145" i="29"/>
  <c r="H153" i="37"/>
  <c r="H140" i="37"/>
  <c r="E136" i="37"/>
  <c r="H121" i="37"/>
  <c r="E154" i="37"/>
  <c r="H150" i="37"/>
  <c r="H146" i="37"/>
  <c r="H142" i="37"/>
  <c r="H144" i="37"/>
  <c r="E209" i="37"/>
  <c r="G154" i="37"/>
  <c r="E207" i="37"/>
  <c r="H145" i="37"/>
  <c r="G136" i="37"/>
  <c r="H148" i="37"/>
  <c r="B89" i="37"/>
  <c r="B53" i="37"/>
  <c r="B47" i="37"/>
  <c r="C8" i="37"/>
  <c r="C6" i="37" s="1"/>
  <c r="B86" i="37"/>
  <c r="B97" i="37" s="1"/>
  <c r="B55" i="37"/>
  <c r="B50" i="37"/>
  <c r="B49" i="37"/>
  <c r="B48" i="37"/>
  <c r="B54" i="37"/>
  <c r="B51" i="37"/>
  <c r="C5" i="37"/>
  <c r="B88" i="37"/>
  <c r="B52" i="37"/>
  <c r="D2" i="37"/>
  <c r="D3" i="37" s="1"/>
  <c r="C19" i="37"/>
  <c r="H143" i="37"/>
  <c r="C154" i="37"/>
  <c r="H139" i="37"/>
  <c r="H152" i="37"/>
  <c r="G136" i="33"/>
  <c r="B88" i="33"/>
  <c r="B54" i="33"/>
  <c r="B52" i="33"/>
  <c r="B50" i="33"/>
  <c r="B48" i="33"/>
  <c r="B89" i="33"/>
  <c r="B49" i="33"/>
  <c r="B53" i="33"/>
  <c r="C8" i="33"/>
  <c r="C6" i="33" s="1"/>
  <c r="B51" i="33"/>
  <c r="B86" i="33"/>
  <c r="B97" i="33"/>
  <c r="B55" i="33"/>
  <c r="B47" i="33"/>
  <c r="H121" i="33"/>
  <c r="E209" i="33"/>
  <c r="D136" i="33"/>
  <c r="H147" i="33"/>
  <c r="C154" i="33"/>
  <c r="H139" i="33"/>
  <c r="N4" i="34"/>
  <c r="S2" i="34"/>
  <c r="C3" i="33"/>
  <c r="C5" i="33" s="1"/>
  <c r="F154" i="33"/>
  <c r="F136" i="33"/>
  <c r="H144" i="33"/>
  <c r="E136" i="33"/>
  <c r="H149" i="33"/>
  <c r="F154" i="29"/>
  <c r="H132" i="29"/>
  <c r="H128" i="29"/>
  <c r="D154" i="29"/>
  <c r="G154" i="29"/>
  <c r="C19" i="29"/>
  <c r="D2" i="29"/>
  <c r="D4" i="29"/>
  <c r="H150" i="29"/>
  <c r="H146" i="29"/>
  <c r="H142" i="29"/>
  <c r="E208" i="29"/>
  <c r="E206" i="29"/>
  <c r="C11" i="29"/>
  <c r="C12" i="29" s="1"/>
  <c r="C4" i="29"/>
  <c r="C25" i="29"/>
  <c r="C26" i="29"/>
  <c r="G136" i="29"/>
  <c r="E154" i="29"/>
  <c r="D136" i="29"/>
  <c r="E136" i="29"/>
  <c r="H121" i="29"/>
  <c r="H151" i="29"/>
  <c r="H147" i="29"/>
  <c r="H143" i="29"/>
  <c r="C154" i="29"/>
  <c r="H139" i="29"/>
  <c r="H146" i="25"/>
  <c r="D136" i="25"/>
  <c r="H144" i="25"/>
  <c r="E208" i="25"/>
  <c r="E206" i="25"/>
  <c r="C11" i="25"/>
  <c r="C12" i="25" s="1"/>
  <c r="C4" i="25"/>
  <c r="C25" i="25"/>
  <c r="C26" i="25" s="1"/>
  <c r="H140" i="25"/>
  <c r="H142" i="25"/>
  <c r="G136" i="25"/>
  <c r="H152" i="25"/>
  <c r="G154" i="25"/>
  <c r="H153" i="25"/>
  <c r="H149" i="25"/>
  <c r="H145" i="25"/>
  <c r="H141" i="25"/>
  <c r="C3" i="25"/>
  <c r="E136" i="25"/>
  <c r="H139" i="25"/>
  <c r="C17" i="21"/>
  <c r="C18" i="21"/>
  <c r="E209" i="21"/>
  <c r="H131" i="21"/>
  <c r="C154" i="21"/>
  <c r="H139" i="21"/>
  <c r="H134" i="21"/>
  <c r="H130" i="21"/>
  <c r="E154" i="21"/>
  <c r="C136" i="21"/>
  <c r="H121" i="21"/>
  <c r="H128" i="21"/>
  <c r="H129" i="21"/>
  <c r="H152" i="21"/>
  <c r="H126" i="21"/>
  <c r="H144" i="21"/>
  <c r="H127" i="21"/>
  <c r="H132" i="21"/>
  <c r="B177" i="21"/>
  <c r="C27" i="21"/>
  <c r="C28" i="21"/>
  <c r="C9" i="21"/>
  <c r="C7" i="21"/>
  <c r="H153" i="21"/>
  <c r="H135" i="21"/>
  <c r="H146" i="21"/>
  <c r="F154" i="21"/>
  <c r="H151" i="21"/>
  <c r="H148" i="21"/>
  <c r="H140" i="21"/>
  <c r="B56" i="21"/>
  <c r="G154" i="21"/>
  <c r="H133" i="21"/>
  <c r="D154" i="21"/>
  <c r="D136" i="21"/>
  <c r="H141" i="21"/>
  <c r="H124" i="21"/>
  <c r="F136" i="21"/>
  <c r="H143" i="21"/>
  <c r="E136" i="21"/>
  <c r="D4" i="21"/>
  <c r="D2" i="21"/>
  <c r="C19" i="21"/>
  <c r="D3" i="21"/>
  <c r="E207" i="21"/>
  <c r="D2" i="17"/>
  <c r="D4" i="17"/>
  <c r="C19" i="17"/>
  <c r="H124" i="17"/>
  <c r="G154" i="17"/>
  <c r="E136" i="17"/>
  <c r="H133" i="17"/>
  <c r="H128" i="17"/>
  <c r="C136" i="17"/>
  <c r="H136" i="17" s="1"/>
  <c r="H121" i="17"/>
  <c r="H139" i="17"/>
  <c r="C154" i="17"/>
  <c r="F154" i="17"/>
  <c r="E206" i="17"/>
  <c r="E208" i="17"/>
  <c r="C11" i="17"/>
  <c r="C12" i="17"/>
  <c r="C4" i="17"/>
  <c r="C25" i="17"/>
  <c r="C26" i="17" s="1"/>
  <c r="H132" i="17"/>
  <c r="H127" i="17"/>
  <c r="F136" i="17"/>
  <c r="H131" i="17"/>
  <c r="H125" i="17"/>
  <c r="D154" i="13"/>
  <c r="F136" i="13"/>
  <c r="H132" i="13"/>
  <c r="G136" i="13"/>
  <c r="H130" i="13"/>
  <c r="D136" i="13"/>
  <c r="H129" i="13"/>
  <c r="H151" i="13"/>
  <c r="H147" i="13"/>
  <c r="H143" i="13"/>
  <c r="H139" i="13"/>
  <c r="C154" i="13"/>
  <c r="H128" i="13"/>
  <c r="H124" i="13"/>
  <c r="E208" i="13"/>
  <c r="C11" i="13"/>
  <c r="C12" i="13" s="1"/>
  <c r="C14" i="13" s="1"/>
  <c r="E205" i="13" s="1"/>
  <c r="C4" i="13"/>
  <c r="C25" i="13"/>
  <c r="C26" i="13"/>
  <c r="E206" i="13"/>
  <c r="H123" i="13"/>
  <c r="C3" i="13"/>
  <c r="E136" i="13"/>
  <c r="H152" i="13"/>
  <c r="H148" i="13"/>
  <c r="H144" i="13"/>
  <c r="H140" i="13"/>
  <c r="G154" i="13"/>
  <c r="H134" i="13"/>
  <c r="H122" i="13"/>
  <c r="H133" i="13"/>
  <c r="H127" i="13"/>
  <c r="C136" i="13"/>
  <c r="H121" i="13"/>
  <c r="H128" i="9"/>
  <c r="H125" i="9"/>
  <c r="G136" i="9"/>
  <c r="E154" i="9"/>
  <c r="H139" i="9"/>
  <c r="H149" i="9"/>
  <c r="H141" i="9"/>
  <c r="H145" i="9"/>
  <c r="D154" i="9"/>
  <c r="D136" i="9"/>
  <c r="E209" i="9"/>
  <c r="B56" i="9"/>
  <c r="H133" i="9"/>
  <c r="H126" i="9"/>
  <c r="H152" i="9"/>
  <c r="H140" i="9"/>
  <c r="E207" i="9"/>
  <c r="H150" i="9"/>
  <c r="H142" i="9"/>
  <c r="C136" i="9"/>
  <c r="H121" i="9"/>
  <c r="F136" i="9"/>
  <c r="H132" i="9"/>
  <c r="H129" i="9"/>
  <c r="H122" i="9"/>
  <c r="H144" i="9"/>
  <c r="G154" i="9"/>
  <c r="H153" i="9"/>
  <c r="E154" i="5"/>
  <c r="G154" i="5"/>
  <c r="F136" i="5"/>
  <c r="B89" i="5"/>
  <c r="B55" i="5"/>
  <c r="B53" i="5"/>
  <c r="B51" i="5"/>
  <c r="B49" i="5"/>
  <c r="B47" i="5"/>
  <c r="C8" i="5"/>
  <c r="C6" i="5" s="1"/>
  <c r="B54" i="5"/>
  <c r="B52" i="5"/>
  <c r="B50" i="5"/>
  <c r="B48" i="5"/>
  <c r="B88" i="5"/>
  <c r="B86" i="5"/>
  <c r="B97" i="5"/>
  <c r="H150" i="5"/>
  <c r="H146" i="5"/>
  <c r="H142" i="5"/>
  <c r="H153" i="5"/>
  <c r="H149" i="5"/>
  <c r="H145" i="5"/>
  <c r="H141" i="5"/>
  <c r="G136" i="5"/>
  <c r="D154" i="5"/>
  <c r="E207" i="5"/>
  <c r="E136" i="5"/>
  <c r="H151" i="5"/>
  <c r="H147" i="5"/>
  <c r="H143" i="5"/>
  <c r="C154" i="5"/>
  <c r="H154" i="5" s="1"/>
  <c r="H139" i="5"/>
  <c r="D136" i="5"/>
  <c r="H154" i="9"/>
  <c r="D3" i="29"/>
  <c r="H136" i="21"/>
  <c r="H136" i="5"/>
  <c r="H154" i="17"/>
  <c r="H154" i="21"/>
  <c r="E172" i="29"/>
  <c r="E166" i="29"/>
  <c r="F166" i="29"/>
  <c r="G166" i="29"/>
  <c r="H166" i="29"/>
  <c r="I166" i="29"/>
  <c r="J166" i="29"/>
  <c r="E165" i="29"/>
  <c r="F165" i="29"/>
  <c r="G165" i="29"/>
  <c r="H165" i="29"/>
  <c r="I165" i="29"/>
  <c r="J165" i="29"/>
  <c r="E164" i="29"/>
  <c r="F164" i="29"/>
  <c r="G164" i="29"/>
  <c r="H164" i="29"/>
  <c r="I164" i="29"/>
  <c r="J164" i="29"/>
  <c r="E167" i="29"/>
  <c r="E163" i="29"/>
  <c r="F163" i="29"/>
  <c r="G163" i="29"/>
  <c r="H163" i="29"/>
  <c r="I163" i="29"/>
  <c r="J163" i="29"/>
  <c r="E170" i="29"/>
  <c r="F170" i="29"/>
  <c r="G170" i="29"/>
  <c r="H170" i="29"/>
  <c r="I170" i="29"/>
  <c r="J170" i="29"/>
  <c r="E169" i="29"/>
  <c r="F169" i="29"/>
  <c r="G169" i="29"/>
  <c r="H169" i="29"/>
  <c r="I169" i="29"/>
  <c r="J169" i="29"/>
  <c r="F167" i="29"/>
  <c r="G167" i="29"/>
  <c r="H167" i="29"/>
  <c r="I167" i="29"/>
  <c r="J167" i="29"/>
  <c r="E171" i="29"/>
  <c r="F171" i="29"/>
  <c r="G171" i="29"/>
  <c r="H171" i="29"/>
  <c r="I171" i="29"/>
  <c r="J171" i="29"/>
  <c r="E168" i="29"/>
  <c r="E173" i="29"/>
  <c r="F173" i="29"/>
  <c r="G173" i="29"/>
  <c r="H173" i="29"/>
  <c r="I173" i="29"/>
  <c r="J173" i="29"/>
  <c r="F168" i="29"/>
  <c r="G168" i="29"/>
  <c r="H168" i="29"/>
  <c r="I168" i="29"/>
  <c r="J168" i="29"/>
  <c r="F172" i="29"/>
  <c r="G172" i="29"/>
  <c r="H172" i="29"/>
  <c r="I172" i="29"/>
  <c r="J172" i="29"/>
  <c r="E162" i="29"/>
  <c r="F162" i="29"/>
  <c r="G162" i="29"/>
  <c r="H162" i="29"/>
  <c r="I162" i="29"/>
  <c r="J162" i="29"/>
  <c r="E165" i="25"/>
  <c r="E168" i="25"/>
  <c r="E171" i="25"/>
  <c r="F171" i="25"/>
  <c r="G171" i="25"/>
  <c r="H171" i="25"/>
  <c r="I171" i="25"/>
  <c r="J171" i="25"/>
  <c r="F167" i="25"/>
  <c r="G167" i="25"/>
  <c r="H167" i="25"/>
  <c r="I167" i="25"/>
  <c r="J167" i="25"/>
  <c r="F169" i="25"/>
  <c r="G169" i="25"/>
  <c r="H169" i="25"/>
  <c r="I169" i="25"/>
  <c r="J169" i="25"/>
  <c r="F163" i="25"/>
  <c r="G163" i="25"/>
  <c r="H163" i="25"/>
  <c r="I163" i="25"/>
  <c r="J163" i="25"/>
  <c r="E172" i="25"/>
  <c r="F172" i="25"/>
  <c r="G172" i="25"/>
  <c r="H172" i="25"/>
  <c r="I172" i="25"/>
  <c r="J172" i="25"/>
  <c r="E162" i="25"/>
  <c r="F162" i="25"/>
  <c r="G162" i="25"/>
  <c r="H162" i="25"/>
  <c r="I162" i="25"/>
  <c r="J162" i="25"/>
  <c r="F170" i="25"/>
  <c r="G170" i="25"/>
  <c r="H170" i="25"/>
  <c r="I170" i="25"/>
  <c r="J170" i="25"/>
  <c r="E163" i="25"/>
  <c r="F168" i="25"/>
  <c r="G168" i="25"/>
  <c r="H168" i="25"/>
  <c r="I168" i="25"/>
  <c r="J168" i="25"/>
  <c r="E164" i="25"/>
  <c r="F164" i="25"/>
  <c r="G164" i="25"/>
  <c r="H164" i="25"/>
  <c r="I164" i="25"/>
  <c r="J164" i="25"/>
  <c r="E167" i="25"/>
  <c r="E170" i="25"/>
  <c r="F173" i="25"/>
  <c r="G173" i="25"/>
  <c r="H173" i="25"/>
  <c r="I173" i="25"/>
  <c r="J173" i="25"/>
  <c r="E169" i="25"/>
  <c r="F165" i="25"/>
  <c r="G165" i="25"/>
  <c r="H165" i="25"/>
  <c r="I165" i="25"/>
  <c r="J165" i="25"/>
  <c r="E173" i="25"/>
  <c r="E166" i="25"/>
  <c r="F166" i="25"/>
  <c r="G166" i="25"/>
  <c r="H166" i="25"/>
  <c r="I166" i="25"/>
  <c r="J166" i="25"/>
  <c r="E162" i="21"/>
  <c r="E169" i="21"/>
  <c r="E171" i="21"/>
  <c r="F173" i="21"/>
  <c r="G173" i="21"/>
  <c r="H173" i="21"/>
  <c r="I173" i="21"/>
  <c r="J173" i="21"/>
  <c r="E165" i="21"/>
  <c r="E166" i="21"/>
  <c r="E173" i="21"/>
  <c r="E164" i="21"/>
  <c r="F171" i="21"/>
  <c r="G171" i="21"/>
  <c r="H171" i="21"/>
  <c r="I171" i="21"/>
  <c r="J171" i="21"/>
  <c r="E170" i="21"/>
  <c r="E163" i="21"/>
  <c r="E168" i="21"/>
  <c r="F169" i="21"/>
  <c r="G169" i="21"/>
  <c r="H169" i="21"/>
  <c r="I169" i="21"/>
  <c r="J169" i="21"/>
  <c r="E167" i="21"/>
  <c r="E172" i="21"/>
  <c r="F168" i="21"/>
  <c r="G168" i="21"/>
  <c r="H168" i="21"/>
  <c r="I168" i="21"/>
  <c r="J168" i="21"/>
  <c r="E164" i="17"/>
  <c r="F164" i="17"/>
  <c r="G164" i="17"/>
  <c r="H164" i="17"/>
  <c r="I164" i="17"/>
  <c r="J164" i="17"/>
  <c r="E166" i="17"/>
  <c r="F166" i="17"/>
  <c r="G166" i="17"/>
  <c r="H166" i="17"/>
  <c r="I166" i="17"/>
  <c r="J166" i="17"/>
  <c r="E171" i="17"/>
  <c r="F170" i="17"/>
  <c r="G170" i="17"/>
  <c r="H170" i="17"/>
  <c r="I170" i="17"/>
  <c r="J170" i="17"/>
  <c r="E168" i="17"/>
  <c r="F168" i="17"/>
  <c r="G168" i="17"/>
  <c r="H168" i="17"/>
  <c r="I168" i="17"/>
  <c r="J168" i="17"/>
  <c r="F167" i="17"/>
  <c r="G167" i="17"/>
  <c r="H167" i="17"/>
  <c r="I167" i="17"/>
  <c r="J167" i="17"/>
  <c r="E172" i="17"/>
  <c r="E170" i="17"/>
  <c r="E165" i="17"/>
  <c r="F165" i="17"/>
  <c r="G165" i="17"/>
  <c r="H165" i="17"/>
  <c r="I165" i="17"/>
  <c r="J165" i="17"/>
  <c r="E167" i="17"/>
  <c r="E169" i="17"/>
  <c r="F169" i="17"/>
  <c r="G169" i="17"/>
  <c r="H169" i="17"/>
  <c r="I169" i="17"/>
  <c r="J169" i="17"/>
  <c r="E162" i="17"/>
  <c r="F162" i="17"/>
  <c r="G162" i="17"/>
  <c r="H162" i="17"/>
  <c r="I162" i="17"/>
  <c r="J162" i="17"/>
  <c r="E163" i="17"/>
  <c r="F163" i="17"/>
  <c r="G163" i="17"/>
  <c r="H163" i="17"/>
  <c r="I163" i="17"/>
  <c r="J163" i="17"/>
  <c r="E173" i="17"/>
  <c r="F173" i="17"/>
  <c r="G173" i="17"/>
  <c r="H173" i="17"/>
  <c r="I173" i="17"/>
  <c r="J173" i="17"/>
  <c r="F171" i="17"/>
  <c r="G171" i="17"/>
  <c r="H171" i="17"/>
  <c r="I171" i="17"/>
  <c r="J171" i="17"/>
  <c r="F172" i="17"/>
  <c r="G172" i="17"/>
  <c r="H172" i="17"/>
  <c r="I172" i="17"/>
  <c r="J172" i="17"/>
  <c r="F162" i="13"/>
  <c r="G162" i="13"/>
  <c r="H162" i="13"/>
  <c r="I162" i="13"/>
  <c r="J162" i="13"/>
  <c r="E167" i="13"/>
  <c r="E162" i="13"/>
  <c r="E170" i="13"/>
  <c r="F167" i="13"/>
  <c r="G167" i="13"/>
  <c r="H167" i="13"/>
  <c r="I167" i="13"/>
  <c r="J167" i="13"/>
  <c r="F169" i="13"/>
  <c r="G169" i="13"/>
  <c r="H169" i="13"/>
  <c r="I169" i="13"/>
  <c r="J169" i="13"/>
  <c r="E166" i="13"/>
  <c r="F166" i="13"/>
  <c r="G166" i="13"/>
  <c r="H166" i="13"/>
  <c r="I166" i="13"/>
  <c r="J166" i="13"/>
  <c r="E165" i="13"/>
  <c r="F165" i="13"/>
  <c r="G165" i="13"/>
  <c r="H165" i="13"/>
  <c r="I165" i="13"/>
  <c r="J165" i="13"/>
  <c r="E163" i="13"/>
  <c r="F163" i="13"/>
  <c r="G163" i="13"/>
  <c r="H163" i="13"/>
  <c r="I163" i="13"/>
  <c r="J163" i="13"/>
  <c r="E164" i="13"/>
  <c r="F164" i="13"/>
  <c r="G164" i="13"/>
  <c r="H164" i="13"/>
  <c r="I164" i="13"/>
  <c r="J164" i="13"/>
  <c r="F171" i="13"/>
  <c r="G171" i="13"/>
  <c r="H171" i="13"/>
  <c r="I171" i="13"/>
  <c r="J171" i="13"/>
  <c r="F168" i="13"/>
  <c r="G168" i="13"/>
  <c r="H168" i="13"/>
  <c r="I168" i="13"/>
  <c r="J168" i="13"/>
  <c r="E169" i="13"/>
  <c r="E171" i="13"/>
  <c r="E168" i="13"/>
  <c r="E173" i="13"/>
  <c r="E172" i="13"/>
  <c r="F172" i="13"/>
  <c r="G172" i="13"/>
  <c r="H172" i="13"/>
  <c r="I172" i="13"/>
  <c r="J172" i="13"/>
  <c r="F170" i="13"/>
  <c r="G170" i="13"/>
  <c r="H170" i="13"/>
  <c r="I170" i="13"/>
  <c r="J170" i="13"/>
  <c r="F173" i="13"/>
  <c r="G173" i="13"/>
  <c r="H173" i="13"/>
  <c r="I173" i="13"/>
  <c r="J173" i="13"/>
  <c r="C29" i="21"/>
  <c r="C30" i="21"/>
  <c r="B56" i="37"/>
  <c r="F206" i="37"/>
  <c r="F208" i="37"/>
  <c r="D25" i="37"/>
  <c r="B177" i="37"/>
  <c r="K171" i="37"/>
  <c r="K167" i="37"/>
  <c r="K163" i="37"/>
  <c r="K173" i="37"/>
  <c r="K169" i="37"/>
  <c r="K165" i="37"/>
  <c r="C27" i="37"/>
  <c r="K170" i="37"/>
  <c r="K166" i="37"/>
  <c r="K162" i="37"/>
  <c r="K172" i="37"/>
  <c r="K168" i="37"/>
  <c r="K164" i="37"/>
  <c r="D4" i="37"/>
  <c r="C19" i="33"/>
  <c r="D2" i="33"/>
  <c r="D3" i="33" s="1"/>
  <c r="N6" i="34"/>
  <c r="B56" i="33"/>
  <c r="C5" i="29"/>
  <c r="B54" i="29"/>
  <c r="B50" i="29"/>
  <c r="B89" i="29"/>
  <c r="B53" i="29"/>
  <c r="B49" i="29"/>
  <c r="B88" i="29"/>
  <c r="B52" i="29"/>
  <c r="B48" i="29"/>
  <c r="C8" i="29"/>
  <c r="C6" i="29"/>
  <c r="B86" i="29"/>
  <c r="B97" i="29"/>
  <c r="B55" i="29"/>
  <c r="B51" i="29"/>
  <c r="B47" i="29"/>
  <c r="E207" i="29"/>
  <c r="D19" i="29"/>
  <c r="E2" i="29"/>
  <c r="E3" i="29"/>
  <c r="E19" i="29" s="1"/>
  <c r="H154" i="29"/>
  <c r="E209" i="29"/>
  <c r="F208" i="29"/>
  <c r="D25" i="29"/>
  <c r="D26" i="29"/>
  <c r="F206" i="29"/>
  <c r="F207" i="29"/>
  <c r="D8" i="29"/>
  <c r="D6" i="29"/>
  <c r="D17" i="29"/>
  <c r="D89" i="29"/>
  <c r="D53" i="29"/>
  <c r="D49" i="29"/>
  <c r="D88" i="29"/>
  <c r="D52" i="29"/>
  <c r="D56" i="29" s="1"/>
  <c r="D247" i="29" s="1"/>
  <c r="D48" i="29"/>
  <c r="D5" i="29"/>
  <c r="D28" i="29"/>
  <c r="D86" i="29"/>
  <c r="D97" i="29"/>
  <c r="D55" i="29"/>
  <c r="D51" i="29"/>
  <c r="D47" i="29"/>
  <c r="D11" i="29"/>
  <c r="D12" i="29"/>
  <c r="D54" i="29"/>
  <c r="D50" i="29"/>
  <c r="H136" i="29"/>
  <c r="C5" i="25"/>
  <c r="B89" i="25"/>
  <c r="B86" i="25"/>
  <c r="B97" i="25"/>
  <c r="B55" i="25"/>
  <c r="B53" i="25"/>
  <c r="B51" i="25"/>
  <c r="B49" i="25"/>
  <c r="B47" i="25"/>
  <c r="C8" i="25"/>
  <c r="C6" i="25"/>
  <c r="B88" i="25"/>
  <c r="B54" i="25"/>
  <c r="B52" i="25"/>
  <c r="B50" i="25"/>
  <c r="B48" i="25"/>
  <c r="H136" i="25"/>
  <c r="D2" i="25"/>
  <c r="D3" i="25"/>
  <c r="C19" i="25"/>
  <c r="E207" i="25"/>
  <c r="E209" i="25"/>
  <c r="D88" i="21"/>
  <c r="D54" i="21"/>
  <c r="D52" i="21"/>
  <c r="D56" i="21" s="1"/>
  <c r="D247" i="21" s="1"/>
  <c r="D50" i="21"/>
  <c r="D48" i="21"/>
  <c r="D11" i="21"/>
  <c r="D12" i="21"/>
  <c r="D89" i="21"/>
  <c r="D86" i="21"/>
  <c r="D97" i="21"/>
  <c r="D55" i="21"/>
  <c r="D53" i="21"/>
  <c r="D51" i="21"/>
  <c r="D49" i="21"/>
  <c r="D47" i="21"/>
  <c r="D5" i="21"/>
  <c r="D8" i="21"/>
  <c r="D6" i="21"/>
  <c r="B178" i="21"/>
  <c r="H177" i="21"/>
  <c r="C218" i="21"/>
  <c r="C248" i="21" s="1"/>
  <c r="E210" i="21"/>
  <c r="E2" i="21"/>
  <c r="D19" i="21"/>
  <c r="B247" i="21"/>
  <c r="C13" i="21"/>
  <c r="F208" i="21"/>
  <c r="F206" i="21"/>
  <c r="F207" i="21"/>
  <c r="D25" i="21"/>
  <c r="D26" i="21"/>
  <c r="C88" i="21"/>
  <c r="C89" i="21"/>
  <c r="C52" i="21"/>
  <c r="C48" i="21"/>
  <c r="B60" i="21"/>
  <c r="C86" i="21"/>
  <c r="C97" i="21"/>
  <c r="C55" i="21"/>
  <c r="B67" i="21"/>
  <c r="C51" i="21"/>
  <c r="B63" i="21"/>
  <c r="C47" i="21"/>
  <c r="B59" i="21"/>
  <c r="C54" i="21"/>
  <c r="B66" i="21" s="1"/>
  <c r="C50" i="21"/>
  <c r="B62" i="21"/>
  <c r="C53" i="21"/>
  <c r="B65" i="21"/>
  <c r="C49" i="21"/>
  <c r="B61" i="21"/>
  <c r="C10" i="21"/>
  <c r="B335" i="21"/>
  <c r="B334" i="21"/>
  <c r="E212" i="21"/>
  <c r="F207" i="17"/>
  <c r="D88" i="17"/>
  <c r="D54" i="17"/>
  <c r="D52" i="17"/>
  <c r="D56" i="17" s="1"/>
  <c r="D247" i="17" s="1"/>
  <c r="D50" i="17"/>
  <c r="D48" i="17"/>
  <c r="D89" i="17"/>
  <c r="D53" i="17"/>
  <c r="D49" i="17"/>
  <c r="D11" i="17"/>
  <c r="D12" i="17"/>
  <c r="D86" i="17"/>
  <c r="D97" i="17"/>
  <c r="D55" i="17"/>
  <c r="D51" i="17"/>
  <c r="D47" i="17"/>
  <c r="D5" i="17"/>
  <c r="D8" i="17"/>
  <c r="D6" i="17"/>
  <c r="E209" i="17"/>
  <c r="E207" i="17"/>
  <c r="F206" i="17"/>
  <c r="D25" i="17"/>
  <c r="D26" i="17"/>
  <c r="F208" i="17"/>
  <c r="B89" i="17"/>
  <c r="B86" i="17"/>
  <c r="B97" i="17"/>
  <c r="B55" i="17"/>
  <c r="B53" i="17"/>
  <c r="B51" i="17"/>
  <c r="B49" i="17"/>
  <c r="B47" i="17"/>
  <c r="B54" i="17"/>
  <c r="B50" i="17"/>
  <c r="C8" i="17"/>
  <c r="C6" i="17"/>
  <c r="B88" i="17"/>
  <c r="B52" i="17"/>
  <c r="B48" i="17"/>
  <c r="C5" i="17"/>
  <c r="D3" i="17"/>
  <c r="B89" i="13"/>
  <c r="B86" i="13"/>
  <c r="B97" i="13"/>
  <c r="B55" i="13"/>
  <c r="B53" i="13"/>
  <c r="B51" i="13"/>
  <c r="B49" i="13"/>
  <c r="C5" i="13"/>
  <c r="B88" i="13"/>
  <c r="B52" i="13"/>
  <c r="B48" i="13"/>
  <c r="B47" i="13"/>
  <c r="C8" i="13"/>
  <c r="C6" i="13"/>
  <c r="B54" i="13"/>
  <c r="B50" i="13"/>
  <c r="H136" i="13"/>
  <c r="D2" i="13"/>
  <c r="D4" i="13"/>
  <c r="C19" i="13"/>
  <c r="E207" i="13"/>
  <c r="E209" i="13"/>
  <c r="H154" i="13"/>
  <c r="C19" i="9"/>
  <c r="H136" i="9"/>
  <c r="B247" i="9"/>
  <c r="B56" i="5"/>
  <c r="D18" i="21"/>
  <c r="D17" i="21"/>
  <c r="D4" i="25"/>
  <c r="K169" i="21"/>
  <c r="K168" i="21"/>
  <c r="F164" i="21"/>
  <c r="G164" i="21"/>
  <c r="H164" i="21"/>
  <c r="I164" i="21"/>
  <c r="J164" i="21"/>
  <c r="F172" i="21"/>
  <c r="G172" i="21"/>
  <c r="H172" i="21"/>
  <c r="I172" i="21"/>
  <c r="J172" i="21"/>
  <c r="F163" i="21"/>
  <c r="G163" i="21"/>
  <c r="H163" i="21"/>
  <c r="I163" i="21"/>
  <c r="J163" i="21"/>
  <c r="K173" i="21"/>
  <c r="K171" i="21"/>
  <c r="F167" i="21"/>
  <c r="G167" i="21"/>
  <c r="H167" i="21"/>
  <c r="I167" i="21"/>
  <c r="J167" i="21"/>
  <c r="F170" i="21"/>
  <c r="G170" i="21"/>
  <c r="H170" i="21"/>
  <c r="I170" i="21"/>
  <c r="J170" i="21"/>
  <c r="F166" i="21"/>
  <c r="G166" i="21"/>
  <c r="H166" i="21"/>
  <c r="I166" i="21"/>
  <c r="J166" i="21"/>
  <c r="F165" i="21"/>
  <c r="G165" i="21"/>
  <c r="H165" i="21"/>
  <c r="I165" i="21"/>
  <c r="J165" i="21"/>
  <c r="F162" i="21"/>
  <c r="G162" i="21"/>
  <c r="H162" i="21"/>
  <c r="I162" i="21"/>
  <c r="J162" i="21"/>
  <c r="B344" i="21"/>
  <c r="B370" i="21"/>
  <c r="B333" i="21"/>
  <c r="B345" i="21"/>
  <c r="B397" i="21" s="1"/>
  <c r="B328" i="21"/>
  <c r="B354" i="21" s="1"/>
  <c r="E213" i="21"/>
  <c r="B351" i="21"/>
  <c r="B377" i="21" s="1"/>
  <c r="B341" i="21"/>
  <c r="B393" i="21"/>
  <c r="B347" i="21"/>
  <c r="B399" i="21" s="1"/>
  <c r="B348" i="21"/>
  <c r="B374" i="21"/>
  <c r="B339" i="21"/>
  <c r="B365" i="21" s="1"/>
  <c r="B346" i="21"/>
  <c r="B330" i="21"/>
  <c r="B356" i="21" s="1"/>
  <c r="B340" i="21"/>
  <c r="B392" i="21" s="1"/>
  <c r="B336" i="21"/>
  <c r="B388" i="21" s="1"/>
  <c r="B247" i="37"/>
  <c r="F207" i="37"/>
  <c r="F209" i="37"/>
  <c r="D88" i="37"/>
  <c r="D52" i="37"/>
  <c r="D56" i="37" s="1"/>
  <c r="D247" i="37" s="1"/>
  <c r="D49" i="37"/>
  <c r="D48" i="37"/>
  <c r="D26" i="37"/>
  <c r="D11" i="37"/>
  <c r="D12" i="37"/>
  <c r="D54" i="37"/>
  <c r="D47" i="37"/>
  <c r="D89" i="37"/>
  <c r="D53" i="37"/>
  <c r="D8" i="37"/>
  <c r="D6" i="37"/>
  <c r="D86" i="37"/>
  <c r="D97" i="37" s="1"/>
  <c r="D55" i="37"/>
  <c r="D51" i="37"/>
  <c r="D50" i="37"/>
  <c r="B178" i="37"/>
  <c r="H177" i="37"/>
  <c r="C218" i="37"/>
  <c r="C248" i="37" s="1"/>
  <c r="B247" i="33"/>
  <c r="F206" i="33"/>
  <c r="F208" i="33"/>
  <c r="D25" i="33"/>
  <c r="D4" i="33"/>
  <c r="C18" i="29"/>
  <c r="C17" i="29"/>
  <c r="B56" i="29"/>
  <c r="F2" i="29"/>
  <c r="F3" i="29"/>
  <c r="L170" i="29"/>
  <c r="L166" i="29"/>
  <c r="L172" i="29"/>
  <c r="L168" i="29"/>
  <c r="L164" i="29"/>
  <c r="D27" i="29"/>
  <c r="D29" i="29" s="1"/>
  <c r="D30" i="29" s="1"/>
  <c r="L173" i="29"/>
  <c r="L169" i="29"/>
  <c r="L165" i="29"/>
  <c r="D7" i="29"/>
  <c r="C177" i="29"/>
  <c r="L171" i="29"/>
  <c r="L167" i="29"/>
  <c r="L163" i="29"/>
  <c r="D9" i="29"/>
  <c r="F210" i="29"/>
  <c r="D18" i="29"/>
  <c r="G206" i="29"/>
  <c r="G208" i="29"/>
  <c r="E25" i="29"/>
  <c r="D10" i="29"/>
  <c r="D14" i="29" s="1"/>
  <c r="F205" i="29" s="1"/>
  <c r="F209" i="29"/>
  <c r="E4" i="29"/>
  <c r="C7" i="29"/>
  <c r="B177" i="29"/>
  <c r="C28" i="29"/>
  <c r="C9" i="29"/>
  <c r="C10" i="29" s="1"/>
  <c r="C14" i="29" s="1"/>
  <c r="E205" i="29" s="1"/>
  <c r="C27" i="29"/>
  <c r="C18" i="25"/>
  <c r="C17" i="25"/>
  <c r="B56" i="25"/>
  <c r="F206" i="25"/>
  <c r="F207" i="25"/>
  <c r="F208" i="25"/>
  <c r="F209" i="25"/>
  <c r="D25" i="25"/>
  <c r="D26" i="25"/>
  <c r="D28" i="25"/>
  <c r="E2" i="25"/>
  <c r="E4" i="25"/>
  <c r="D19" i="25"/>
  <c r="D8" i="25"/>
  <c r="D6" i="25"/>
  <c r="D88" i="25"/>
  <c r="D54" i="25"/>
  <c r="D52" i="25"/>
  <c r="D56" i="25" s="1"/>
  <c r="D247" i="25" s="1"/>
  <c r="D50" i="25"/>
  <c r="D48" i="25"/>
  <c r="D11" i="25"/>
  <c r="D12" i="25"/>
  <c r="D89" i="25"/>
  <c r="D86" i="25"/>
  <c r="D97" i="25"/>
  <c r="D55" i="25"/>
  <c r="D53" i="25"/>
  <c r="D51" i="25"/>
  <c r="D49" i="25"/>
  <c r="D47" i="25"/>
  <c r="D5" i="25"/>
  <c r="B177" i="25"/>
  <c r="C28" i="25"/>
  <c r="C9" i="25"/>
  <c r="C27" i="25"/>
  <c r="C7" i="25"/>
  <c r="B387" i="21"/>
  <c r="B361" i="21"/>
  <c r="C177" i="21"/>
  <c r="D7" i="21"/>
  <c r="D9" i="21"/>
  <c r="D27" i="21"/>
  <c r="B99" i="21"/>
  <c r="B337" i="21"/>
  <c r="B343" i="21"/>
  <c r="B331" i="21"/>
  <c r="B349" i="21"/>
  <c r="G206" i="21"/>
  <c r="G208" i="21"/>
  <c r="E25" i="21"/>
  <c r="E3" i="21"/>
  <c r="D28" i="21"/>
  <c r="F209" i="21"/>
  <c r="B386" i="21"/>
  <c r="B360" i="21"/>
  <c r="C14" i="21"/>
  <c r="E205" i="21" s="1"/>
  <c r="C56" i="21"/>
  <c r="B69" i="21"/>
  <c r="B70" i="21"/>
  <c r="B64" i="21"/>
  <c r="F210" i="21"/>
  <c r="B342" i="21"/>
  <c r="B329" i="21"/>
  <c r="E211" i="21"/>
  <c r="E204" i="21"/>
  <c r="B332" i="21"/>
  <c r="E4" i="21"/>
  <c r="B350" i="21"/>
  <c r="B179" i="21"/>
  <c r="H178" i="21"/>
  <c r="C219" i="21"/>
  <c r="C249" i="21" s="1"/>
  <c r="B338" i="21"/>
  <c r="D17" i="17"/>
  <c r="D18" i="17"/>
  <c r="C177" i="17"/>
  <c r="D27" i="17"/>
  <c r="D9" i="17"/>
  <c r="D7" i="17"/>
  <c r="D19" i="17"/>
  <c r="E4" i="17"/>
  <c r="E2" i="17"/>
  <c r="E3" i="17"/>
  <c r="E19" i="17" s="1"/>
  <c r="B56" i="17"/>
  <c r="F210" i="17"/>
  <c r="C7" i="17"/>
  <c r="B177" i="17"/>
  <c r="C9" i="17"/>
  <c r="C28" i="17"/>
  <c r="C27" i="17"/>
  <c r="D28" i="17"/>
  <c r="C18" i="17"/>
  <c r="C17" i="17"/>
  <c r="F209" i="17"/>
  <c r="D88" i="13"/>
  <c r="D54" i="13"/>
  <c r="D52" i="13"/>
  <c r="D56" i="13" s="1"/>
  <c r="D247" i="13" s="1"/>
  <c r="D50" i="13"/>
  <c r="D48" i="13"/>
  <c r="D8" i="13"/>
  <c r="D6" i="13"/>
  <c r="D89" i="13"/>
  <c r="D53" i="13"/>
  <c r="D49" i="13"/>
  <c r="D86" i="13"/>
  <c r="D97" i="13"/>
  <c r="D55" i="13"/>
  <c r="D51" i="13"/>
  <c r="D11" i="13"/>
  <c r="D12" i="13"/>
  <c r="D47" i="13"/>
  <c r="C17" i="13"/>
  <c r="C18" i="13"/>
  <c r="D3" i="13"/>
  <c r="B56" i="13"/>
  <c r="D25" i="13"/>
  <c r="D26" i="13"/>
  <c r="F206" i="13"/>
  <c r="F208" i="13"/>
  <c r="F209" i="13"/>
  <c r="C7" i="13"/>
  <c r="C27" i="13"/>
  <c r="C9" i="13"/>
  <c r="B177" i="13"/>
  <c r="C28" i="13"/>
  <c r="F208" i="9"/>
  <c r="F206" i="9"/>
  <c r="D18" i="9"/>
  <c r="D97" i="9"/>
  <c r="B177" i="9"/>
  <c r="E42" i="6"/>
  <c r="E43" i="6"/>
  <c r="C97" i="5"/>
  <c r="E41" i="6"/>
  <c r="H177" i="5"/>
  <c r="C218" i="5" s="1"/>
  <c r="C248" i="5" s="1"/>
  <c r="F97" i="5"/>
  <c r="B247" i="5"/>
  <c r="D97" i="5"/>
  <c r="D336" i="29"/>
  <c r="F213" i="29"/>
  <c r="D344" i="29"/>
  <c r="D331" i="29"/>
  <c r="K172" i="13"/>
  <c r="D347" i="29"/>
  <c r="D333" i="29"/>
  <c r="L162" i="29"/>
  <c r="D349" i="29"/>
  <c r="K166" i="21"/>
  <c r="K167" i="21"/>
  <c r="K163" i="21"/>
  <c r="K162" i="21"/>
  <c r="K164" i="21"/>
  <c r="K165" i="21"/>
  <c r="K170" i="21"/>
  <c r="K172" i="21"/>
  <c r="B403" i="21"/>
  <c r="B373" i="21"/>
  <c r="B391" i="21"/>
  <c r="B380" i="21"/>
  <c r="B396" i="21"/>
  <c r="B400" i="21"/>
  <c r="B398" i="21"/>
  <c r="B385" i="21"/>
  <c r="B372" i="21"/>
  <c r="B359" i="21"/>
  <c r="B371" i="21"/>
  <c r="B366" i="21"/>
  <c r="B367" i="21"/>
  <c r="B382" i="21"/>
  <c r="D332" i="29"/>
  <c r="D358" i="29"/>
  <c r="D348" i="29"/>
  <c r="D328" i="29"/>
  <c r="D354" i="29"/>
  <c r="F211" i="29"/>
  <c r="B335" i="29"/>
  <c r="D340" i="29"/>
  <c r="D339" i="29"/>
  <c r="D391" i="29"/>
  <c r="D341" i="29"/>
  <c r="B362" i="21"/>
  <c r="F212" i="21"/>
  <c r="D10" i="21"/>
  <c r="D14" i="21"/>
  <c r="F205" i="21"/>
  <c r="D341" i="21"/>
  <c r="D367" i="21"/>
  <c r="F212" i="17"/>
  <c r="D10" i="17"/>
  <c r="D14" i="17" s="1"/>
  <c r="F205" i="17" s="1"/>
  <c r="C10" i="13"/>
  <c r="C29" i="13"/>
  <c r="K162" i="13"/>
  <c r="B179" i="37"/>
  <c r="H178" i="37"/>
  <c r="C219" i="37"/>
  <c r="C249" i="37" s="1"/>
  <c r="D18" i="37"/>
  <c r="D17" i="37"/>
  <c r="F207" i="33"/>
  <c r="D89" i="33"/>
  <c r="D86" i="33"/>
  <c r="D97" i="33" s="1"/>
  <c r="D55" i="33"/>
  <c r="D53" i="33"/>
  <c r="D51" i="33"/>
  <c r="D49" i="33"/>
  <c r="D47" i="33"/>
  <c r="D5" i="33"/>
  <c r="D52" i="33"/>
  <c r="D56" i="33" s="1"/>
  <c r="D247" i="33" s="1"/>
  <c r="D48" i="33"/>
  <c r="D54" i="33"/>
  <c r="D8" i="33"/>
  <c r="D6" i="33" s="1"/>
  <c r="D88" i="33"/>
  <c r="D11" i="33"/>
  <c r="D12" i="33" s="1"/>
  <c r="F209" i="33"/>
  <c r="D50" i="33"/>
  <c r="D26" i="33"/>
  <c r="B331" i="29"/>
  <c r="B339" i="29"/>
  <c r="B347" i="29"/>
  <c r="B330" i="29"/>
  <c r="B338" i="29"/>
  <c r="B346" i="29"/>
  <c r="F19" i="29"/>
  <c r="D362" i="29"/>
  <c r="D388" i="29"/>
  <c r="D370" i="29"/>
  <c r="D396" i="29"/>
  <c r="D383" i="29"/>
  <c r="D357" i="29"/>
  <c r="D399" i="29"/>
  <c r="D373" i="29"/>
  <c r="D385" i="29"/>
  <c r="D359" i="29"/>
  <c r="D401" i="29"/>
  <c r="D375" i="29"/>
  <c r="H206" i="29"/>
  <c r="F25" i="29"/>
  <c r="H208" i="29"/>
  <c r="G2" i="29"/>
  <c r="G4" i="29"/>
  <c r="C29" i="29"/>
  <c r="C13" i="29"/>
  <c r="E210" i="29"/>
  <c r="E212" i="29"/>
  <c r="B333" i="29"/>
  <c r="B341" i="29"/>
  <c r="B349" i="29"/>
  <c r="B332" i="29"/>
  <c r="B340" i="29"/>
  <c r="B348" i="29"/>
  <c r="E213" i="29"/>
  <c r="D13" i="29"/>
  <c r="I177" i="29"/>
  <c r="E218" i="29"/>
  <c r="E248" i="29"/>
  <c r="C178" i="29"/>
  <c r="D330" i="29"/>
  <c r="D338" i="29"/>
  <c r="D346" i="29"/>
  <c r="D335" i="29"/>
  <c r="D351" i="29"/>
  <c r="D337" i="29"/>
  <c r="F212" i="29"/>
  <c r="B247" i="29"/>
  <c r="F4" i="29"/>
  <c r="H177" i="29"/>
  <c r="C218" i="29"/>
  <c r="C248" i="29" s="1"/>
  <c r="B178" i="29"/>
  <c r="B343" i="29"/>
  <c r="B351" i="29"/>
  <c r="B334" i="29"/>
  <c r="B342" i="29"/>
  <c r="B350" i="29"/>
  <c r="E211" i="29"/>
  <c r="E89" i="29"/>
  <c r="E86" i="29"/>
  <c r="E97" i="29"/>
  <c r="E88" i="29"/>
  <c r="E53" i="29"/>
  <c r="C65" i="29"/>
  <c r="E48" i="29"/>
  <c r="C60" i="29"/>
  <c r="E51" i="29"/>
  <c r="C63" i="29"/>
  <c r="E54" i="29"/>
  <c r="C66" i="29"/>
  <c r="E49" i="29"/>
  <c r="C61" i="29"/>
  <c r="E52" i="29"/>
  <c r="E55" i="29"/>
  <c r="C67" i="29"/>
  <c r="E47" i="29"/>
  <c r="C59" i="29"/>
  <c r="E50" i="29"/>
  <c r="C62" i="29"/>
  <c r="C88" i="29"/>
  <c r="C54" i="29"/>
  <c r="B66" i="29"/>
  <c r="C52" i="29"/>
  <c r="C50" i="29"/>
  <c r="B62" i="29"/>
  <c r="C48" i="29"/>
  <c r="B60" i="29" s="1"/>
  <c r="C89" i="29"/>
  <c r="C86" i="29"/>
  <c r="C97" i="29"/>
  <c r="C55" i="29"/>
  <c r="B67" i="29" s="1"/>
  <c r="C53" i="29"/>
  <c r="B65" i="29"/>
  <c r="C51" i="29"/>
  <c r="B63" i="29" s="1"/>
  <c r="C49" i="29"/>
  <c r="B61" i="29"/>
  <c r="C47" i="29"/>
  <c r="B59" i="29" s="1"/>
  <c r="B329" i="29"/>
  <c r="B337" i="29"/>
  <c r="B363" i="29" s="1"/>
  <c r="B345" i="29"/>
  <c r="B328" i="29"/>
  <c r="B336" i="29"/>
  <c r="B344" i="29"/>
  <c r="E5" i="29"/>
  <c r="G207" i="29"/>
  <c r="E26" i="29"/>
  <c r="E11" i="29"/>
  <c r="G209" i="29"/>
  <c r="F88" i="29"/>
  <c r="F52" i="29"/>
  <c r="F56" i="29"/>
  <c r="F247" i="29" s="1"/>
  <c r="F48" i="29"/>
  <c r="F86" i="29"/>
  <c r="F97" i="29"/>
  <c r="F55" i="29"/>
  <c r="F51" i="29"/>
  <c r="F47" i="29"/>
  <c r="E8" i="29"/>
  <c r="E6" i="29"/>
  <c r="F54" i="29"/>
  <c r="F50" i="29"/>
  <c r="F89" i="29"/>
  <c r="F53" i="29"/>
  <c r="F49" i="29"/>
  <c r="E12" i="29"/>
  <c r="D334" i="29"/>
  <c r="D342" i="29"/>
  <c r="D350" i="29"/>
  <c r="D343" i="29"/>
  <c r="D369" i="29" s="1"/>
  <c r="D329" i="29"/>
  <c r="D345" i="29"/>
  <c r="D18" i="25"/>
  <c r="D17" i="25"/>
  <c r="C89" i="25"/>
  <c r="C86" i="25"/>
  <c r="C97" i="25"/>
  <c r="C55" i="25"/>
  <c r="B67" i="25"/>
  <c r="C53" i="25"/>
  <c r="B65" i="25" s="1"/>
  <c r="C51" i="25"/>
  <c r="B63" i="25"/>
  <c r="C49" i="25"/>
  <c r="B61" i="25" s="1"/>
  <c r="C47" i="25"/>
  <c r="B59" i="25"/>
  <c r="C88" i="25"/>
  <c r="C54" i="25"/>
  <c r="B66" i="25"/>
  <c r="C52" i="25"/>
  <c r="C50" i="25"/>
  <c r="B62" i="25" s="1"/>
  <c r="C48" i="25"/>
  <c r="B60" i="25"/>
  <c r="C13" i="25"/>
  <c r="E212" i="25"/>
  <c r="E210" i="25"/>
  <c r="H177" i="25"/>
  <c r="C218" i="25" s="1"/>
  <c r="C248" i="25" s="1"/>
  <c r="B178" i="25"/>
  <c r="G208" i="25"/>
  <c r="G209" i="25"/>
  <c r="G206" i="25"/>
  <c r="G207" i="25"/>
  <c r="E25" i="25"/>
  <c r="E26" i="25"/>
  <c r="E11" i="25"/>
  <c r="E12" i="25"/>
  <c r="F89" i="25"/>
  <c r="F86" i="25"/>
  <c r="F97" i="25"/>
  <c r="F55" i="25"/>
  <c r="F53" i="25"/>
  <c r="F51" i="25"/>
  <c r="F49" i="25"/>
  <c r="F47" i="25"/>
  <c r="F88" i="25"/>
  <c r="F54" i="25"/>
  <c r="F52" i="25"/>
  <c r="F56" i="25"/>
  <c r="F247" i="25"/>
  <c r="F50" i="25"/>
  <c r="F48" i="25"/>
  <c r="E8" i="25"/>
  <c r="E6" i="25"/>
  <c r="C10" i="25"/>
  <c r="C29" i="25"/>
  <c r="K165" i="25"/>
  <c r="B347" i="25"/>
  <c r="C177" i="25"/>
  <c r="L164" i="25"/>
  <c r="D27" i="25"/>
  <c r="D29" i="25"/>
  <c r="D30" i="25" s="1"/>
  <c r="D7" i="25"/>
  <c r="L171" i="25"/>
  <c r="D9" i="25"/>
  <c r="F212" i="25" s="1"/>
  <c r="E3" i="25"/>
  <c r="E5" i="25"/>
  <c r="B247" i="25"/>
  <c r="B342" i="25"/>
  <c r="B357" i="21"/>
  <c r="B383" i="21"/>
  <c r="D350" i="21"/>
  <c r="D336" i="21"/>
  <c r="D351" i="21"/>
  <c r="B402" i="21"/>
  <c r="B376" i="21"/>
  <c r="B384" i="21"/>
  <c r="B358" i="21"/>
  <c r="B368" i="21"/>
  <c r="B394" i="21"/>
  <c r="F213" i="21"/>
  <c r="D29" i="21"/>
  <c r="D30" i="21"/>
  <c r="C178" i="21"/>
  <c r="I177" i="21"/>
  <c r="E218" i="21" s="1"/>
  <c r="E248" i="21" s="1"/>
  <c r="D330" i="21"/>
  <c r="D329" i="21"/>
  <c r="B389" i="21"/>
  <c r="B363" i="21"/>
  <c r="E89" i="21"/>
  <c r="E86" i="21"/>
  <c r="E97" i="21"/>
  <c r="E88" i="21"/>
  <c r="E48" i="21"/>
  <c r="C60" i="21"/>
  <c r="E55" i="21"/>
  <c r="C67" i="21"/>
  <c r="E51" i="21"/>
  <c r="C63" i="21"/>
  <c r="E54" i="21"/>
  <c r="C66" i="21"/>
  <c r="E53" i="21"/>
  <c r="C65" i="21"/>
  <c r="E47" i="21"/>
  <c r="C59" i="21"/>
  <c r="E50" i="21"/>
  <c r="C62" i="21"/>
  <c r="E49" i="21"/>
  <c r="C61" i="21"/>
  <c r="E52" i="21"/>
  <c r="B390" i="21"/>
  <c r="B364" i="21"/>
  <c r="B180" i="21"/>
  <c r="H179" i="21"/>
  <c r="B355" i="21"/>
  <c r="B381" i="21"/>
  <c r="E19" i="21"/>
  <c r="F2" i="21"/>
  <c r="D342" i="21"/>
  <c r="D335" i="21"/>
  <c r="D343" i="21"/>
  <c r="G207" i="21"/>
  <c r="G209" i="21"/>
  <c r="F89" i="21"/>
  <c r="F86" i="21"/>
  <c r="F97" i="21"/>
  <c r="F55" i="21"/>
  <c r="F53" i="21"/>
  <c r="F51" i="21"/>
  <c r="F49" i="21"/>
  <c r="F47" i="21"/>
  <c r="F88" i="21"/>
  <c r="F54" i="21"/>
  <c r="F52" i="21"/>
  <c r="F56" i="21"/>
  <c r="F247" i="21"/>
  <c r="F50" i="21"/>
  <c r="F48" i="21"/>
  <c r="E8" i="21"/>
  <c r="E6" i="21"/>
  <c r="E11" i="21"/>
  <c r="E12" i="21"/>
  <c r="E26" i="21"/>
  <c r="E5" i="21"/>
  <c r="C247" i="21"/>
  <c r="B68" i="21"/>
  <c r="F211" i="21"/>
  <c r="B401" i="21"/>
  <c r="B375" i="21"/>
  <c r="B369" i="21"/>
  <c r="B395" i="21"/>
  <c r="D13" i="21"/>
  <c r="D338" i="21"/>
  <c r="D346" i="21"/>
  <c r="D332" i="21"/>
  <c r="D331" i="21"/>
  <c r="D339" i="21"/>
  <c r="B349" i="17"/>
  <c r="D29" i="17"/>
  <c r="D30" i="17" s="1"/>
  <c r="D351" i="17"/>
  <c r="D337" i="17"/>
  <c r="C29" i="17"/>
  <c r="C30" i="17"/>
  <c r="C10" i="17"/>
  <c r="B339" i="17"/>
  <c r="B336" i="17"/>
  <c r="B341" i="17"/>
  <c r="B247" i="17"/>
  <c r="G208" i="17"/>
  <c r="G206" i="17"/>
  <c r="G207" i="17"/>
  <c r="E25" i="17"/>
  <c r="E26" i="17"/>
  <c r="E89" i="17"/>
  <c r="E86" i="17"/>
  <c r="E97" i="17"/>
  <c r="E88" i="17"/>
  <c r="E49" i="17"/>
  <c r="C61" i="17"/>
  <c r="E48" i="17"/>
  <c r="C60" i="17"/>
  <c r="E55" i="17"/>
  <c r="C67" i="17"/>
  <c r="E47" i="17"/>
  <c r="C59" i="17"/>
  <c r="E54" i="17"/>
  <c r="C66" i="17"/>
  <c r="E53" i="17"/>
  <c r="C65" i="17"/>
  <c r="E50" i="17"/>
  <c r="C62" i="17"/>
  <c r="E51" i="17"/>
  <c r="C63" i="17"/>
  <c r="E52" i="17"/>
  <c r="D331" i="17"/>
  <c r="D340" i="17"/>
  <c r="C88" i="17"/>
  <c r="C54" i="17"/>
  <c r="B66" i="17"/>
  <c r="C52" i="17"/>
  <c r="C50" i="17"/>
  <c r="B62" i="17" s="1"/>
  <c r="C48" i="17"/>
  <c r="B60" i="17"/>
  <c r="C89" i="17"/>
  <c r="C49" i="17"/>
  <c r="B61" i="17"/>
  <c r="C86" i="17"/>
  <c r="C97" i="17"/>
  <c r="C55" i="17"/>
  <c r="B67" i="17"/>
  <c r="C51" i="17"/>
  <c r="B63" i="17" s="1"/>
  <c r="C47" i="17"/>
  <c r="B59" i="17"/>
  <c r="C53" i="17"/>
  <c r="B65" i="17" s="1"/>
  <c r="G209" i="17"/>
  <c r="F89" i="17"/>
  <c r="F86" i="17"/>
  <c r="F97" i="17"/>
  <c r="F55" i="17"/>
  <c r="F53" i="17"/>
  <c r="F51" i="17"/>
  <c r="F49" i="17"/>
  <c r="F47" i="17"/>
  <c r="E5" i="17"/>
  <c r="F88" i="17"/>
  <c r="F52" i="17"/>
  <c r="F56" i="17" s="1"/>
  <c r="F247" i="17"/>
  <c r="F48" i="17"/>
  <c r="F54" i="17"/>
  <c r="F50" i="17"/>
  <c r="E8" i="17"/>
  <c r="E6" i="17"/>
  <c r="E17" i="17"/>
  <c r="E11" i="17"/>
  <c r="E12" i="17"/>
  <c r="C178" i="17"/>
  <c r="I177" i="17"/>
  <c r="E218" i="17" s="1"/>
  <c r="E248" i="17" s="1"/>
  <c r="D336" i="17"/>
  <c r="C13" i="17"/>
  <c r="E212" i="17"/>
  <c r="E210" i="17"/>
  <c r="B348" i="17"/>
  <c r="D330" i="17"/>
  <c r="H177" i="17"/>
  <c r="C218" i="17"/>
  <c r="C248" i="17"/>
  <c r="B178" i="17"/>
  <c r="B332" i="17"/>
  <c r="B346" i="17"/>
  <c r="F2" i="17"/>
  <c r="F4" i="17"/>
  <c r="D13" i="17"/>
  <c r="D334" i="17"/>
  <c r="D17" i="13"/>
  <c r="D18" i="13"/>
  <c r="B247" i="13"/>
  <c r="E213" i="13"/>
  <c r="B341" i="13"/>
  <c r="B351" i="13"/>
  <c r="H177" i="13"/>
  <c r="C218" i="13"/>
  <c r="C248" i="13"/>
  <c r="B178" i="13"/>
  <c r="B348" i="13"/>
  <c r="B345" i="13"/>
  <c r="B344" i="13"/>
  <c r="C13" i="13"/>
  <c r="E210" i="13"/>
  <c r="E212" i="13"/>
  <c r="C88" i="13"/>
  <c r="C54" i="13"/>
  <c r="B66" i="13" s="1"/>
  <c r="C52" i="13"/>
  <c r="C50" i="13"/>
  <c r="B62" i="13" s="1"/>
  <c r="C48" i="13"/>
  <c r="B60" i="13"/>
  <c r="C89" i="13"/>
  <c r="C53" i="13"/>
  <c r="B65" i="13" s="1"/>
  <c r="C49" i="13"/>
  <c r="B61" i="13" s="1"/>
  <c r="C47" i="13"/>
  <c r="B59" i="13" s="1"/>
  <c r="C55" i="13"/>
  <c r="B67" i="13"/>
  <c r="C51" i="13"/>
  <c r="B63" i="13" s="1"/>
  <c r="C86" i="13"/>
  <c r="C97" i="13"/>
  <c r="E211" i="13"/>
  <c r="D19" i="13"/>
  <c r="E2" i="13"/>
  <c r="E4" i="13"/>
  <c r="D5" i="13"/>
  <c r="F207" i="13"/>
  <c r="D17" i="9"/>
  <c r="C97" i="9"/>
  <c r="B178" i="9"/>
  <c r="H177" i="9"/>
  <c r="C218" i="9"/>
  <c r="C248" i="9" s="1"/>
  <c r="B99" i="5"/>
  <c r="H178" i="5"/>
  <c r="C219" i="5" s="1"/>
  <c r="C249" i="5" s="1"/>
  <c r="E40" i="6"/>
  <c r="E3" i="13"/>
  <c r="E19" i="13"/>
  <c r="L168" i="17"/>
  <c r="L169" i="17"/>
  <c r="L173" i="25"/>
  <c r="C30" i="29"/>
  <c r="K170" i="29"/>
  <c r="K168" i="29"/>
  <c r="L170" i="21"/>
  <c r="L172" i="17"/>
  <c r="K165" i="17"/>
  <c r="K166" i="17"/>
  <c r="K168" i="17"/>
  <c r="K164" i="17"/>
  <c r="K165" i="13"/>
  <c r="L163" i="21"/>
  <c r="K168" i="25"/>
  <c r="L164" i="17"/>
  <c r="K162" i="17"/>
  <c r="K163" i="17"/>
  <c r="K171" i="17"/>
  <c r="L168" i="25"/>
  <c r="C30" i="25"/>
  <c r="K172" i="25"/>
  <c r="K170" i="25"/>
  <c r="K163" i="25"/>
  <c r="D340" i="21"/>
  <c r="L164" i="21"/>
  <c r="K166" i="25"/>
  <c r="K172" i="17"/>
  <c r="K168" i="13"/>
  <c r="K164" i="13"/>
  <c r="K173" i="13"/>
  <c r="L166" i="17"/>
  <c r="L162" i="17"/>
  <c r="L163" i="17"/>
  <c r="L165" i="17"/>
  <c r="L167" i="17"/>
  <c r="L170" i="17"/>
  <c r="L171" i="17"/>
  <c r="L173" i="17"/>
  <c r="L163" i="25"/>
  <c r="L172" i="25"/>
  <c r="E28" i="29"/>
  <c r="D345" i="21"/>
  <c r="K169" i="17"/>
  <c r="K171" i="13"/>
  <c r="K167" i="29"/>
  <c r="K163" i="29"/>
  <c r="K167" i="17"/>
  <c r="G3" i="29"/>
  <c r="G19" i="29"/>
  <c r="D333" i="21"/>
  <c r="D359" i="21" s="1"/>
  <c r="L167" i="21"/>
  <c r="K166" i="29"/>
  <c r="K162" i="29"/>
  <c r="K171" i="25"/>
  <c r="K172" i="29"/>
  <c r="K170" i="17"/>
  <c r="K173" i="25"/>
  <c r="B337" i="9"/>
  <c r="B351" i="9"/>
  <c r="L167" i="25"/>
  <c r="L162" i="25"/>
  <c r="C30" i="13"/>
  <c r="K169" i="13"/>
  <c r="K163" i="13"/>
  <c r="K170" i="13"/>
  <c r="D334" i="21"/>
  <c r="D386" i="21" s="1"/>
  <c r="K164" i="29"/>
  <c r="K169" i="25"/>
  <c r="K166" i="13"/>
  <c r="L162" i="21"/>
  <c r="K171" i="29"/>
  <c r="K162" i="25"/>
  <c r="K167" i="25"/>
  <c r="L171" i="21"/>
  <c r="L165" i="25"/>
  <c r="L166" i="25"/>
  <c r="B343" i="13"/>
  <c r="B369" i="13" s="1"/>
  <c r="L172" i="21"/>
  <c r="K167" i="13"/>
  <c r="K164" i="25"/>
  <c r="L168" i="21"/>
  <c r="K169" i="29"/>
  <c r="L169" i="25"/>
  <c r="L170" i="25"/>
  <c r="L165" i="21"/>
  <c r="L166" i="21"/>
  <c r="K165" i="29"/>
  <c r="L169" i="21"/>
  <c r="K173" i="17"/>
  <c r="L173" i="21"/>
  <c r="K173" i="29"/>
  <c r="D367" i="29"/>
  <c r="D374" i="29"/>
  <c r="D384" i="29"/>
  <c r="D393" i="21"/>
  <c r="D393" i="29"/>
  <c r="B387" i="29"/>
  <c r="D392" i="29"/>
  <c r="D366" i="29"/>
  <c r="D380" i="29"/>
  <c r="D400" i="29"/>
  <c r="D365" i="29"/>
  <c r="D397" i="21"/>
  <c r="B361" i="29"/>
  <c r="B334" i="25"/>
  <c r="B360" i="25"/>
  <c r="B348" i="25"/>
  <c r="B400" i="25" s="1"/>
  <c r="B339" i="25"/>
  <c r="B343" i="25"/>
  <c r="B395" i="25" s="1"/>
  <c r="B344" i="25"/>
  <c r="B370" i="25" s="1"/>
  <c r="D366" i="21"/>
  <c r="B349" i="25"/>
  <c r="B401" i="25" s="1"/>
  <c r="B340" i="25"/>
  <c r="B366" i="25"/>
  <c r="B331" i="25"/>
  <c r="B335" i="25"/>
  <c r="B350" i="25"/>
  <c r="B341" i="25"/>
  <c r="B332" i="25"/>
  <c r="B384" i="25" s="1"/>
  <c r="D392" i="21"/>
  <c r="D360" i="21"/>
  <c r="D371" i="21"/>
  <c r="D348" i="21"/>
  <c r="D347" i="21"/>
  <c r="D373" i="21"/>
  <c r="D328" i="21"/>
  <c r="D337" i="21"/>
  <c r="D344" i="21"/>
  <c r="D349" i="21"/>
  <c r="D328" i="17"/>
  <c r="D354" i="17" s="1"/>
  <c r="D350" i="17"/>
  <c r="D341" i="17"/>
  <c r="D393" i="17" s="1"/>
  <c r="B343" i="17"/>
  <c r="B395" i="17"/>
  <c r="F211" i="17"/>
  <c r="D329" i="17"/>
  <c r="D347" i="17"/>
  <c r="D399" i="17"/>
  <c r="B333" i="17"/>
  <c r="B385" i="17" s="1"/>
  <c r="D335" i="17"/>
  <c r="D361" i="17"/>
  <c r="D348" i="17"/>
  <c r="D349" i="17"/>
  <c r="D401" i="17" s="1"/>
  <c r="D345" i="17"/>
  <c r="D371" i="17"/>
  <c r="D343" i="17"/>
  <c r="D395" i="17" s="1"/>
  <c r="D332" i="17"/>
  <c r="D342" i="17"/>
  <c r="D333" i="17"/>
  <c r="D385" i="17" s="1"/>
  <c r="B335" i="17"/>
  <c r="B387" i="17"/>
  <c r="D346" i="17"/>
  <c r="D398" i="17" s="1"/>
  <c r="D344" i="17"/>
  <c r="D396" i="17" s="1"/>
  <c r="D339" i="17"/>
  <c r="D391" i="17" s="1"/>
  <c r="B344" i="17"/>
  <c r="B396" i="17"/>
  <c r="D338" i="17"/>
  <c r="D364" i="17" s="1"/>
  <c r="F213" i="17"/>
  <c r="B342" i="13"/>
  <c r="B335" i="13"/>
  <c r="B387" i="13" s="1"/>
  <c r="B346" i="13"/>
  <c r="B398" i="13"/>
  <c r="B329" i="13"/>
  <c r="B355" i="13" s="1"/>
  <c r="B332" i="13"/>
  <c r="B331" i="13"/>
  <c r="B357" i="13" s="1"/>
  <c r="B349" i="13"/>
  <c r="B375" i="13"/>
  <c r="B336" i="13"/>
  <c r="B337" i="13"/>
  <c r="B350" i="13"/>
  <c r="B376" i="13" s="1"/>
  <c r="B347" i="13"/>
  <c r="B373" i="13" s="1"/>
  <c r="B330" i="13"/>
  <c r="B356" i="13"/>
  <c r="B395" i="13"/>
  <c r="F2" i="13"/>
  <c r="B333" i="13"/>
  <c r="B385" i="13"/>
  <c r="B339" i="13"/>
  <c r="B391" i="13" s="1"/>
  <c r="B340" i="13"/>
  <c r="B392" i="13"/>
  <c r="B328" i="13"/>
  <c r="B380" i="13" s="1"/>
  <c r="B334" i="13"/>
  <c r="B360" i="13"/>
  <c r="B338" i="13"/>
  <c r="B336" i="9"/>
  <c r="B335" i="9"/>
  <c r="B387" i="9"/>
  <c r="B347" i="9"/>
  <c r="B399" i="9" s="1"/>
  <c r="B329" i="9"/>
  <c r="B328" i="9"/>
  <c r="B380" i="9" s="1"/>
  <c r="B345" i="9"/>
  <c r="B371" i="9"/>
  <c r="B330" i="9"/>
  <c r="B356" i="9" s="1"/>
  <c r="B180" i="37"/>
  <c r="H179" i="37"/>
  <c r="C220" i="37" s="1"/>
  <c r="C250" i="37" s="1"/>
  <c r="D18" i="33"/>
  <c r="D17" i="33"/>
  <c r="O2" i="34"/>
  <c r="L167" i="33"/>
  <c r="L163" i="33"/>
  <c r="D9" i="33"/>
  <c r="D27" i="33"/>
  <c r="L172" i="33"/>
  <c r="L168" i="33"/>
  <c r="L165" i="33"/>
  <c r="E17" i="29"/>
  <c r="E18" i="29"/>
  <c r="D395" i="29"/>
  <c r="B396" i="29"/>
  <c r="B370" i="29"/>
  <c r="B389" i="29"/>
  <c r="B386" i="29"/>
  <c r="B360" i="29"/>
  <c r="D403" i="29"/>
  <c r="D377" i="29"/>
  <c r="B383" i="29"/>
  <c r="B357" i="29"/>
  <c r="B388" i="29"/>
  <c r="B362" i="29"/>
  <c r="B381" i="29"/>
  <c r="B355" i="29"/>
  <c r="B403" i="29"/>
  <c r="B377" i="29"/>
  <c r="D387" i="29"/>
  <c r="D361" i="29"/>
  <c r="F204" i="29"/>
  <c r="B400" i="29"/>
  <c r="B374" i="29"/>
  <c r="B367" i="29"/>
  <c r="B393" i="29"/>
  <c r="G11" i="29"/>
  <c r="G12" i="29"/>
  <c r="G5" i="29"/>
  <c r="J54" i="29"/>
  <c r="J50" i="29"/>
  <c r="G25" i="29"/>
  <c r="G26" i="29"/>
  <c r="G8" i="29"/>
  <c r="G6" i="29"/>
  <c r="J89" i="29"/>
  <c r="J53" i="29"/>
  <c r="J49" i="29"/>
  <c r="J88" i="29"/>
  <c r="J52" i="29"/>
  <c r="J48" i="29"/>
  <c r="J86" i="29"/>
  <c r="J97" i="29"/>
  <c r="J55" i="29"/>
  <c r="J51" i="29"/>
  <c r="J47" i="29"/>
  <c r="B382" i="29"/>
  <c r="B356" i="29"/>
  <c r="D371" i="29"/>
  <c r="D397" i="29"/>
  <c r="D394" i="29"/>
  <c r="D368" i="29"/>
  <c r="D177" i="29"/>
  <c r="E9" i="29"/>
  <c r="E7" i="29"/>
  <c r="E27" i="29"/>
  <c r="E29" i="29"/>
  <c r="E30" i="29" s="1"/>
  <c r="B380" i="29"/>
  <c r="B354" i="29"/>
  <c r="D99" i="29"/>
  <c r="B402" i="29"/>
  <c r="B376" i="29"/>
  <c r="B395" i="29"/>
  <c r="B369" i="29"/>
  <c r="D398" i="29"/>
  <c r="D372" i="29"/>
  <c r="B366" i="29"/>
  <c r="B392" i="29"/>
  <c r="B385" i="29"/>
  <c r="B359" i="29"/>
  <c r="B399" i="29"/>
  <c r="B373" i="29"/>
  <c r="D382" i="29"/>
  <c r="D356" i="29"/>
  <c r="B375" i="29"/>
  <c r="B401" i="29"/>
  <c r="B390" i="29"/>
  <c r="B364" i="29"/>
  <c r="D402" i="29"/>
  <c r="D376" i="29"/>
  <c r="D355" i="29"/>
  <c r="D381" i="29"/>
  <c r="D386" i="29"/>
  <c r="D360" i="29"/>
  <c r="B397" i="29"/>
  <c r="B371" i="29"/>
  <c r="B99" i="29"/>
  <c r="C56" i="29"/>
  <c r="B69" i="29"/>
  <c r="B70" i="29"/>
  <c r="B64" i="29"/>
  <c r="E56" i="29"/>
  <c r="C64" i="29"/>
  <c r="B394" i="29"/>
  <c r="B368" i="29"/>
  <c r="H178" i="29"/>
  <c r="C219" i="29" s="1"/>
  <c r="C249" i="29" s="1"/>
  <c r="B302" i="29" s="1"/>
  <c r="B179" i="29"/>
  <c r="H209" i="29"/>
  <c r="H207" i="29"/>
  <c r="F8" i="29"/>
  <c r="F6" i="29"/>
  <c r="H86" i="29"/>
  <c r="H97" i="29"/>
  <c r="H55" i="29"/>
  <c r="H51" i="29"/>
  <c r="H47" i="29"/>
  <c r="F5" i="29"/>
  <c r="H54" i="29"/>
  <c r="H50" i="29"/>
  <c r="F11" i="29"/>
  <c r="F12" i="29"/>
  <c r="H89" i="29"/>
  <c r="H53" i="29"/>
  <c r="H49" i="29"/>
  <c r="F26" i="29"/>
  <c r="F28" i="29"/>
  <c r="H88" i="29"/>
  <c r="H52" i="29"/>
  <c r="H48" i="29"/>
  <c r="D389" i="29"/>
  <c r="D363" i="29"/>
  <c r="D390" i="29"/>
  <c r="D364" i="29"/>
  <c r="I178" i="29"/>
  <c r="E219" i="29" s="1"/>
  <c r="E249" i="29" s="1"/>
  <c r="C179" i="29"/>
  <c r="B384" i="29"/>
  <c r="B358" i="29"/>
  <c r="E204" i="29"/>
  <c r="I208" i="29"/>
  <c r="I206" i="29"/>
  <c r="B398" i="29"/>
  <c r="B372" i="29"/>
  <c r="B391" i="29"/>
  <c r="B365" i="29"/>
  <c r="E17" i="25"/>
  <c r="E18" i="25"/>
  <c r="E19" i="25"/>
  <c r="F2" i="25"/>
  <c r="F3" i="25"/>
  <c r="C14" i="25"/>
  <c r="E205" i="25" s="1"/>
  <c r="B333" i="25"/>
  <c r="E213" i="25"/>
  <c r="E211" i="25"/>
  <c r="B346" i="25"/>
  <c r="B338" i="25"/>
  <c r="B330" i="25"/>
  <c r="B345" i="25"/>
  <c r="B337" i="25"/>
  <c r="B329" i="25"/>
  <c r="E28" i="25"/>
  <c r="B336" i="25"/>
  <c r="B328" i="25"/>
  <c r="B394" i="25"/>
  <c r="B368" i="25"/>
  <c r="D13" i="25"/>
  <c r="D10" i="25"/>
  <c r="C178" i="25"/>
  <c r="I177" i="25"/>
  <c r="E218" i="25" s="1"/>
  <c r="E248" i="25" s="1"/>
  <c r="D334" i="25"/>
  <c r="D351" i="25"/>
  <c r="B399" i="25"/>
  <c r="B373" i="25"/>
  <c r="B351" i="25"/>
  <c r="H178" i="25"/>
  <c r="C219" i="25" s="1"/>
  <c r="C249" i="25" s="1"/>
  <c r="B302" i="25" s="1"/>
  <c r="B179" i="25"/>
  <c r="E204" i="25"/>
  <c r="C56" i="25"/>
  <c r="B69" i="25"/>
  <c r="B70" i="25"/>
  <c r="B64" i="25"/>
  <c r="B99" i="25"/>
  <c r="E88" i="25"/>
  <c r="E89" i="25"/>
  <c r="E86" i="25"/>
  <c r="E97" i="25"/>
  <c r="E52" i="25"/>
  <c r="E49" i="25"/>
  <c r="C61" i="25"/>
  <c r="E50" i="25"/>
  <c r="C62" i="25"/>
  <c r="E55" i="25"/>
  <c r="C67" i="25"/>
  <c r="E47" i="25"/>
  <c r="C59" i="25"/>
  <c r="E48" i="25"/>
  <c r="C60" i="25"/>
  <c r="E53" i="25"/>
  <c r="C65" i="25"/>
  <c r="E54" i="25"/>
  <c r="C66" i="25"/>
  <c r="E51" i="25"/>
  <c r="C63" i="25"/>
  <c r="D177" i="25"/>
  <c r="E7" i="25"/>
  <c r="E9" i="25"/>
  <c r="G210" i="25"/>
  <c r="E27" i="25"/>
  <c r="F210" i="25"/>
  <c r="D383" i="21"/>
  <c r="D357" i="21"/>
  <c r="D390" i="21"/>
  <c r="D364" i="21"/>
  <c r="H206" i="21"/>
  <c r="H208" i="21"/>
  <c r="F25" i="21"/>
  <c r="E56" i="21"/>
  <c r="C64" i="21"/>
  <c r="D356" i="21"/>
  <c r="D382" i="21"/>
  <c r="I178" i="21"/>
  <c r="E219" i="21" s="1"/>
  <c r="E249" i="21" s="1"/>
  <c r="C179" i="21"/>
  <c r="D376" i="21"/>
  <c r="D402" i="21"/>
  <c r="F204" i="21"/>
  <c r="D177" i="21"/>
  <c r="E27" i="21"/>
  <c r="E9" i="21"/>
  <c r="E7" i="21"/>
  <c r="E18" i="21"/>
  <c r="E17" i="21"/>
  <c r="D395" i="21"/>
  <c r="D369" i="21"/>
  <c r="F3" i="21"/>
  <c r="B276" i="21"/>
  <c r="B301" i="21"/>
  <c r="B275" i="21"/>
  <c r="B277" i="21"/>
  <c r="E28" i="21"/>
  <c r="D387" i="21"/>
  <c r="D361" i="21"/>
  <c r="F4" i="21"/>
  <c r="D99" i="21"/>
  <c r="D403" i="21"/>
  <c r="D377" i="21"/>
  <c r="D394" i="21"/>
  <c r="D368" i="21"/>
  <c r="D358" i="21"/>
  <c r="D384" i="21"/>
  <c r="D391" i="21"/>
  <c r="D365" i="21"/>
  <c r="D372" i="21"/>
  <c r="D398" i="21"/>
  <c r="B181" i="21"/>
  <c r="H180" i="21"/>
  <c r="B302" i="21"/>
  <c r="D355" i="21"/>
  <c r="D381" i="21"/>
  <c r="D388" i="21"/>
  <c r="D362" i="21"/>
  <c r="H88" i="17"/>
  <c r="H54" i="17"/>
  <c r="H52" i="17"/>
  <c r="H56" i="17"/>
  <c r="H247" i="17" s="1"/>
  <c r="H50" i="17"/>
  <c r="H48" i="17"/>
  <c r="F8" i="17"/>
  <c r="H86" i="17"/>
  <c r="H97" i="17"/>
  <c r="H55" i="17"/>
  <c r="H51" i="17"/>
  <c r="H47" i="17"/>
  <c r="H89" i="17"/>
  <c r="H53" i="17"/>
  <c r="H49" i="17"/>
  <c r="F11" i="17"/>
  <c r="F12" i="17"/>
  <c r="F6" i="17"/>
  <c r="F18" i="17"/>
  <c r="B391" i="17"/>
  <c r="B365" i="17"/>
  <c r="B388" i="17"/>
  <c r="B362" i="17"/>
  <c r="F3" i="17"/>
  <c r="F5" i="17"/>
  <c r="B372" i="17"/>
  <c r="B398" i="17"/>
  <c r="D177" i="17"/>
  <c r="E9" i="17"/>
  <c r="G212" i="17"/>
  <c r="E7" i="17"/>
  <c r="E27" i="17"/>
  <c r="E18" i="17"/>
  <c r="B338" i="17"/>
  <c r="B347" i="17"/>
  <c r="F204" i="17"/>
  <c r="H208" i="17"/>
  <c r="H206" i="17"/>
  <c r="F25" i="17"/>
  <c r="F26" i="17"/>
  <c r="D382" i="17"/>
  <c r="D356" i="17"/>
  <c r="E204" i="17"/>
  <c r="D99" i="17"/>
  <c r="B375" i="17"/>
  <c r="B401" i="17"/>
  <c r="B351" i="17"/>
  <c r="B342" i="17"/>
  <c r="H178" i="17"/>
  <c r="C219" i="17" s="1"/>
  <c r="C249" i="17" s="1"/>
  <c r="B302" i="17" s="1"/>
  <c r="B179" i="17"/>
  <c r="B330" i="17"/>
  <c r="C179" i="17"/>
  <c r="I178" i="17"/>
  <c r="E219" i="17"/>
  <c r="E249" i="17" s="1"/>
  <c r="E28" i="17"/>
  <c r="B99" i="17"/>
  <c r="D392" i="17"/>
  <c r="D366" i="17"/>
  <c r="D383" i="17"/>
  <c r="D357" i="17"/>
  <c r="E56" i="17"/>
  <c r="C64" i="17"/>
  <c r="G210" i="17"/>
  <c r="B334" i="17"/>
  <c r="D363" i="17"/>
  <c r="D389" i="17"/>
  <c r="D386" i="17"/>
  <c r="D360" i="17"/>
  <c r="B384" i="17"/>
  <c r="B358" i="17"/>
  <c r="B400" i="17"/>
  <c r="B374" i="17"/>
  <c r="D362" i="17"/>
  <c r="D388" i="17"/>
  <c r="C56" i="17"/>
  <c r="B64" i="17"/>
  <c r="B393" i="17"/>
  <c r="B367" i="17"/>
  <c r="C14" i="17"/>
  <c r="E205" i="17"/>
  <c r="E211" i="17"/>
  <c r="E213" i="17"/>
  <c r="B345" i="17"/>
  <c r="B337" i="17"/>
  <c r="B329" i="17"/>
  <c r="B350" i="17"/>
  <c r="B340" i="17"/>
  <c r="B328" i="17"/>
  <c r="B331" i="17"/>
  <c r="D403" i="17"/>
  <c r="D377" i="17"/>
  <c r="F89" i="13"/>
  <c r="F86" i="13"/>
  <c r="F97" i="13"/>
  <c r="F55" i="13"/>
  <c r="F53" i="13"/>
  <c r="F51" i="13"/>
  <c r="F49" i="13"/>
  <c r="E5" i="13"/>
  <c r="E11" i="13"/>
  <c r="E12" i="13"/>
  <c r="F47" i="13"/>
  <c r="E8" i="13"/>
  <c r="E6" i="13"/>
  <c r="F54" i="13"/>
  <c r="F50" i="13"/>
  <c r="F88" i="13"/>
  <c r="F52" i="13"/>
  <c r="F56" i="13"/>
  <c r="F247" i="13" s="1"/>
  <c r="F48" i="13"/>
  <c r="C56" i="13"/>
  <c r="B69" i="13"/>
  <c r="B70" i="13"/>
  <c r="B64" i="13"/>
  <c r="D337" i="13"/>
  <c r="D9" i="13"/>
  <c r="D350" i="13"/>
  <c r="D7" i="13"/>
  <c r="C177" i="13"/>
  <c r="D27" i="13"/>
  <c r="D10" i="13"/>
  <c r="F211" i="13"/>
  <c r="D28" i="13"/>
  <c r="B396" i="13"/>
  <c r="B370" i="13"/>
  <c r="B393" i="13"/>
  <c r="B367" i="13"/>
  <c r="B99" i="13"/>
  <c r="E204" i="13"/>
  <c r="B179" i="13"/>
  <c r="H178" i="13"/>
  <c r="C219" i="13"/>
  <c r="C249" i="13" s="1"/>
  <c r="B302" i="13" s="1"/>
  <c r="G206" i="13"/>
  <c r="G207" i="13"/>
  <c r="E25" i="13"/>
  <c r="E26" i="13"/>
  <c r="G208" i="13"/>
  <c r="G209" i="13"/>
  <c r="B397" i="13"/>
  <c r="B371" i="13"/>
  <c r="B400" i="13"/>
  <c r="B374" i="13"/>
  <c r="B377" i="13"/>
  <c r="B403" i="13"/>
  <c r="E97" i="9"/>
  <c r="B332" i="9"/>
  <c r="B340" i="9"/>
  <c r="B349" i="9"/>
  <c r="B333" i="9"/>
  <c r="B342" i="9"/>
  <c r="B346" i="9"/>
  <c r="B341" i="9"/>
  <c r="B338" i="9"/>
  <c r="B344" i="9"/>
  <c r="B403" i="9"/>
  <c r="B377" i="9"/>
  <c r="B389" i="9"/>
  <c r="B363" i="9"/>
  <c r="B350" i="9"/>
  <c r="B179" i="9"/>
  <c r="H178" i="9"/>
  <c r="C219" i="9"/>
  <c r="C249" i="9"/>
  <c r="B99" i="9"/>
  <c r="I177" i="9"/>
  <c r="E218" i="9"/>
  <c r="E248" i="9" s="1"/>
  <c r="B334" i="9"/>
  <c r="F97" i="9"/>
  <c r="B331" i="9"/>
  <c r="B343" i="9"/>
  <c r="B339" i="9"/>
  <c r="B348" i="9"/>
  <c r="H179" i="5"/>
  <c r="H97" i="5"/>
  <c r="E97" i="5"/>
  <c r="D99" i="5" s="1"/>
  <c r="F43" i="6"/>
  <c r="F42" i="6"/>
  <c r="F41" i="6"/>
  <c r="I177" i="5"/>
  <c r="D329" i="25"/>
  <c r="M162" i="29"/>
  <c r="M165" i="29"/>
  <c r="D328" i="13"/>
  <c r="M166" i="29"/>
  <c r="M169" i="29"/>
  <c r="D338" i="13"/>
  <c r="M170" i="29"/>
  <c r="M173" i="29"/>
  <c r="D385" i="21"/>
  <c r="D335" i="13"/>
  <c r="D343" i="25"/>
  <c r="M164" i="29"/>
  <c r="D335" i="25"/>
  <c r="M168" i="29"/>
  <c r="M163" i="29"/>
  <c r="D346" i="13"/>
  <c r="D350" i="25"/>
  <c r="M172" i="29"/>
  <c r="M167" i="29"/>
  <c r="E29" i="25"/>
  <c r="M172" i="25"/>
  <c r="M170" i="25"/>
  <c r="D342" i="25"/>
  <c r="M171" i="29"/>
  <c r="B383" i="25"/>
  <c r="B402" i="25"/>
  <c r="B370" i="17"/>
  <c r="D381" i="17"/>
  <c r="D380" i="17"/>
  <c r="B387" i="25"/>
  <c r="B386" i="25"/>
  <c r="B393" i="25"/>
  <c r="D373" i="17"/>
  <c r="D387" i="17"/>
  <c r="B381" i="13"/>
  <c r="B401" i="13"/>
  <c r="D397" i="17"/>
  <c r="B375" i="25"/>
  <c r="B392" i="25"/>
  <c r="D354" i="21"/>
  <c r="B369" i="25"/>
  <c r="B359" i="13"/>
  <c r="D370" i="21"/>
  <c r="B369" i="17"/>
  <c r="B391" i="25"/>
  <c r="D375" i="17"/>
  <c r="B396" i="25"/>
  <c r="B358" i="25"/>
  <c r="B388" i="9"/>
  <c r="D370" i="17"/>
  <c r="B374" i="25"/>
  <c r="D384" i="17"/>
  <c r="B402" i="13"/>
  <c r="B382" i="13"/>
  <c r="D358" i="17"/>
  <c r="D380" i="21"/>
  <c r="D396" i="21"/>
  <c r="B361" i="25"/>
  <c r="B376" i="25"/>
  <c r="B354" i="9"/>
  <c r="B366" i="13"/>
  <c r="D389" i="21"/>
  <c r="D399" i="21"/>
  <c r="B357" i="25"/>
  <c r="B365" i="25"/>
  <c r="B367" i="25"/>
  <c r="B399" i="13"/>
  <c r="B388" i="13"/>
  <c r="B368" i="13"/>
  <c r="D372" i="17"/>
  <c r="D369" i="17"/>
  <c r="D390" i="17"/>
  <c r="B381" i="9"/>
  <c r="B386" i="13"/>
  <c r="B389" i="13"/>
  <c r="B372" i="13"/>
  <c r="B384" i="13"/>
  <c r="D355" i="17"/>
  <c r="D368" i="17"/>
  <c r="B359" i="17"/>
  <c r="D363" i="21"/>
  <c r="B394" i="13"/>
  <c r="D376" i="17"/>
  <c r="D375" i="21"/>
  <c r="D401" i="21"/>
  <c r="D374" i="21"/>
  <c r="D400" i="21"/>
  <c r="B354" i="13"/>
  <c r="B361" i="13"/>
  <c r="D359" i="17"/>
  <c r="D394" i="17"/>
  <c r="B361" i="17"/>
  <c r="D365" i="17"/>
  <c r="D367" i="17"/>
  <c r="D402" i="17"/>
  <c r="B361" i="9"/>
  <c r="B397" i="9"/>
  <c r="D374" i="17"/>
  <c r="D400" i="17"/>
  <c r="B390" i="13"/>
  <c r="B364" i="13"/>
  <c r="F4" i="13"/>
  <c r="F3" i="13"/>
  <c r="B373" i="9"/>
  <c r="D343" i="13"/>
  <c r="D369" i="13" s="1"/>
  <c r="D341" i="13"/>
  <c r="D330" i="13"/>
  <c r="D356" i="13"/>
  <c r="D342" i="13"/>
  <c r="D368" i="13"/>
  <c r="B355" i="9"/>
  <c r="B382" i="9"/>
  <c r="B365" i="13"/>
  <c r="B363" i="13"/>
  <c r="B362" i="13"/>
  <c r="B383" i="13"/>
  <c r="B358" i="13"/>
  <c r="F25" i="13"/>
  <c r="H206" i="13"/>
  <c r="D347" i="13"/>
  <c r="D373" i="13" s="1"/>
  <c r="D345" i="13"/>
  <c r="D397" i="13" s="1"/>
  <c r="D334" i="13"/>
  <c r="D344" i="13"/>
  <c r="H208" i="13"/>
  <c r="D331" i="13"/>
  <c r="D357" i="13"/>
  <c r="D351" i="13"/>
  <c r="D377" i="13"/>
  <c r="D329" i="13"/>
  <c r="D381" i="13"/>
  <c r="D336" i="13"/>
  <c r="B362" i="9"/>
  <c r="B181" i="37"/>
  <c r="H180" i="37"/>
  <c r="F212" i="33"/>
  <c r="D13" i="33"/>
  <c r="D10" i="33"/>
  <c r="F210" i="33"/>
  <c r="I207" i="29"/>
  <c r="H56" i="29"/>
  <c r="I209" i="29"/>
  <c r="J56" i="29"/>
  <c r="G88" i="29"/>
  <c r="G89" i="29"/>
  <c r="G86" i="29"/>
  <c r="G97" i="29"/>
  <c r="G54" i="29"/>
  <c r="D66" i="29"/>
  <c r="G53" i="29"/>
  <c r="D65" i="29"/>
  <c r="G50" i="29"/>
  <c r="D62" i="29"/>
  <c r="G52" i="29"/>
  <c r="G51" i="29"/>
  <c r="D63" i="29"/>
  <c r="G49" i="29"/>
  <c r="D61" i="29"/>
  <c r="G48" i="29"/>
  <c r="D60" i="29"/>
  <c r="G55" i="29"/>
  <c r="D67" i="29"/>
  <c r="G47" i="29"/>
  <c r="D59" i="29"/>
  <c r="E13" i="29"/>
  <c r="G212" i="29"/>
  <c r="E10" i="29"/>
  <c r="G210" i="29"/>
  <c r="F345" i="29"/>
  <c r="F329" i="29"/>
  <c r="F336" i="29"/>
  <c r="F343" i="29"/>
  <c r="F350" i="29"/>
  <c r="F334" i="29"/>
  <c r="F349" i="29"/>
  <c r="D178" i="29"/>
  <c r="J177" i="29"/>
  <c r="G218" i="29"/>
  <c r="G248" i="29" s="1"/>
  <c r="F331" i="29"/>
  <c r="I179" i="29"/>
  <c r="E220" i="29"/>
  <c r="E250" i="29" s="1"/>
  <c r="C180" i="29"/>
  <c r="F18" i="29"/>
  <c r="F17" i="29"/>
  <c r="H179" i="29"/>
  <c r="B180" i="29"/>
  <c r="G17" i="29"/>
  <c r="G18" i="29"/>
  <c r="N172" i="29"/>
  <c r="F27" i="29"/>
  <c r="F29" i="29" s="1"/>
  <c r="F30" i="29" s="1"/>
  <c r="N170" i="29"/>
  <c r="N162" i="29"/>
  <c r="E177" i="29"/>
  <c r="N171" i="29"/>
  <c r="F9" i="29"/>
  <c r="N173" i="29"/>
  <c r="N165" i="29"/>
  <c r="F7" i="29"/>
  <c r="E247" i="29"/>
  <c r="C68" i="29"/>
  <c r="G7" i="29"/>
  <c r="F177" i="29"/>
  <c r="G9" i="29"/>
  <c r="I212" i="29"/>
  <c r="G27" i="29"/>
  <c r="C247" i="29"/>
  <c r="B68" i="29"/>
  <c r="G28" i="29"/>
  <c r="C69" i="29"/>
  <c r="C70" i="29"/>
  <c r="F19" i="25"/>
  <c r="G4" i="25"/>
  <c r="G2" i="25"/>
  <c r="E13" i="25"/>
  <c r="C247" i="25"/>
  <c r="B68" i="25"/>
  <c r="H179" i="25"/>
  <c r="C220" i="25"/>
  <c r="C250" i="25" s="1"/>
  <c r="B303" i="25" s="1"/>
  <c r="B180" i="25"/>
  <c r="D395" i="25"/>
  <c r="D369" i="25"/>
  <c r="D386" i="25"/>
  <c r="D360" i="25"/>
  <c r="D14" i="25"/>
  <c r="F205" i="25"/>
  <c r="D347" i="25"/>
  <c r="D339" i="25"/>
  <c r="D331" i="25"/>
  <c r="D346" i="25"/>
  <c r="D338" i="25"/>
  <c r="D330" i="25"/>
  <c r="D345" i="25"/>
  <c r="D337" i="25"/>
  <c r="D344" i="25"/>
  <c r="D336" i="25"/>
  <c r="D328" i="25"/>
  <c r="F213" i="25"/>
  <c r="F211" i="25"/>
  <c r="B362" i="25"/>
  <c r="B388" i="25"/>
  <c r="B382" i="25"/>
  <c r="B356" i="25"/>
  <c r="D333" i="25"/>
  <c r="F4" i="25"/>
  <c r="D178" i="25"/>
  <c r="J177" i="25"/>
  <c r="G218" i="25"/>
  <c r="G248" i="25" s="1"/>
  <c r="E56" i="25"/>
  <c r="C69" i="25"/>
  <c r="C70" i="25"/>
  <c r="C64" i="25"/>
  <c r="D387" i="25"/>
  <c r="D361" i="25"/>
  <c r="D381" i="25"/>
  <c r="D355" i="25"/>
  <c r="F204" i="25"/>
  <c r="G212" i="25"/>
  <c r="B381" i="25"/>
  <c r="B355" i="25"/>
  <c r="B390" i="25"/>
  <c r="B364" i="25"/>
  <c r="B385" i="25"/>
  <c r="B359" i="25"/>
  <c r="D348" i="25"/>
  <c r="E10" i="25"/>
  <c r="D99" i="25"/>
  <c r="B403" i="25"/>
  <c r="B377" i="25"/>
  <c r="D402" i="25"/>
  <c r="D376" i="25"/>
  <c r="B389" i="25"/>
  <c r="B363" i="25"/>
  <c r="B398" i="25"/>
  <c r="B372" i="25"/>
  <c r="D340" i="25"/>
  <c r="D349" i="25"/>
  <c r="G89" i="25"/>
  <c r="G86" i="25"/>
  <c r="G97" i="25"/>
  <c r="G88" i="25"/>
  <c r="G51" i="25"/>
  <c r="D63" i="25"/>
  <c r="G52" i="25"/>
  <c r="G49" i="25"/>
  <c r="D61" i="25"/>
  <c r="G50" i="25"/>
  <c r="D62" i="25"/>
  <c r="G55" i="25"/>
  <c r="D67" i="25"/>
  <c r="G47" i="25"/>
  <c r="D59" i="25"/>
  <c r="G48" i="25"/>
  <c r="D60" i="25"/>
  <c r="G53" i="25"/>
  <c r="D65" i="25"/>
  <c r="G54" i="25"/>
  <c r="D66" i="25"/>
  <c r="D403" i="25"/>
  <c r="D377" i="25"/>
  <c r="D394" i="25"/>
  <c r="D368" i="25"/>
  <c r="C179" i="25"/>
  <c r="I178" i="25"/>
  <c r="B354" i="25"/>
  <c r="B380" i="25"/>
  <c r="B397" i="25"/>
  <c r="B371" i="25"/>
  <c r="D341" i="25"/>
  <c r="D332" i="25"/>
  <c r="H208" i="25"/>
  <c r="H206" i="25"/>
  <c r="F25" i="25"/>
  <c r="B182" i="21"/>
  <c r="H181" i="21"/>
  <c r="C222" i="21" s="1"/>
  <c r="C252" i="21" s="1"/>
  <c r="E13" i="21"/>
  <c r="G210" i="21"/>
  <c r="G212" i="21"/>
  <c r="J177" i="21"/>
  <c r="G218" i="21" s="1"/>
  <c r="G248" i="21" s="1"/>
  <c r="D178" i="21"/>
  <c r="H209" i="21"/>
  <c r="H207" i="21"/>
  <c r="H88" i="21"/>
  <c r="H54" i="21"/>
  <c r="H52" i="21"/>
  <c r="H56" i="21" s="1"/>
  <c r="H247" i="21" s="1"/>
  <c r="H50" i="21"/>
  <c r="H48" i="21"/>
  <c r="F5" i="21"/>
  <c r="H89" i="21"/>
  <c r="H86" i="21"/>
  <c r="H97" i="21"/>
  <c r="H55" i="21"/>
  <c r="H53" i="21"/>
  <c r="H51" i="21"/>
  <c r="H49" i="21"/>
  <c r="H47" i="21"/>
  <c r="F26" i="21"/>
  <c r="F11" i="21"/>
  <c r="F12" i="21"/>
  <c r="F8" i="21"/>
  <c r="F6" i="21"/>
  <c r="C221" i="21"/>
  <c r="C251" i="21"/>
  <c r="B278" i="21"/>
  <c r="G88" i="21"/>
  <c r="G86" i="21"/>
  <c r="G97" i="21"/>
  <c r="G89" i="21"/>
  <c r="G50" i="21"/>
  <c r="D62" i="21"/>
  <c r="G49" i="21"/>
  <c r="D61" i="21"/>
  <c r="G48" i="21"/>
  <c r="D60" i="21"/>
  <c r="G51" i="21"/>
  <c r="D63" i="21"/>
  <c r="G47" i="21"/>
  <c r="D59" i="21"/>
  <c r="G54" i="21"/>
  <c r="D66" i="21"/>
  <c r="G53" i="21"/>
  <c r="D65" i="21"/>
  <c r="G52" i="21"/>
  <c r="G55" i="21"/>
  <c r="D67" i="21"/>
  <c r="E247" i="21"/>
  <c r="C68" i="21"/>
  <c r="E10" i="21"/>
  <c r="F19" i="21"/>
  <c r="G2" i="21"/>
  <c r="G3" i="21"/>
  <c r="G19" i="21" s="1"/>
  <c r="E29" i="21"/>
  <c r="M168" i="21"/>
  <c r="C69" i="21"/>
  <c r="C70" i="21"/>
  <c r="I179" i="21"/>
  <c r="E220" i="21" s="1"/>
  <c r="E250" i="21" s="1"/>
  <c r="D303" i="21" s="1"/>
  <c r="C180" i="21"/>
  <c r="E177" i="17"/>
  <c r="F27" i="17"/>
  <c r="F7" i="17"/>
  <c r="F9" i="17"/>
  <c r="F28" i="17"/>
  <c r="B381" i="17"/>
  <c r="B355" i="17"/>
  <c r="B376" i="17"/>
  <c r="B402" i="17"/>
  <c r="C180" i="17"/>
  <c r="I179" i="17"/>
  <c r="E220" i="17" s="1"/>
  <c r="E250" i="17" s="1"/>
  <c r="B394" i="17"/>
  <c r="B368" i="17"/>
  <c r="B383" i="17"/>
  <c r="B357" i="17"/>
  <c r="B403" i="17"/>
  <c r="B377" i="17"/>
  <c r="B399" i="17"/>
  <c r="B373" i="17"/>
  <c r="E29" i="17"/>
  <c r="M171" i="17"/>
  <c r="B380" i="17"/>
  <c r="B354" i="17"/>
  <c r="B389" i="17"/>
  <c r="B363" i="17"/>
  <c r="C247" i="17"/>
  <c r="B68" i="17"/>
  <c r="E247" i="17"/>
  <c r="C68" i="17"/>
  <c r="B382" i="17"/>
  <c r="B356" i="17"/>
  <c r="H179" i="17"/>
  <c r="B180" i="17"/>
  <c r="F17" i="17"/>
  <c r="C69" i="17"/>
  <c r="C70" i="17"/>
  <c r="B390" i="17"/>
  <c r="B364" i="17"/>
  <c r="G88" i="17"/>
  <c r="G89" i="17"/>
  <c r="G86" i="17"/>
  <c r="G97" i="17"/>
  <c r="G48" i="17"/>
  <c r="D60" i="17"/>
  <c r="G51" i="17"/>
  <c r="D63" i="17"/>
  <c r="G54" i="17"/>
  <c r="D66" i="17"/>
  <c r="G55" i="17"/>
  <c r="D67" i="17"/>
  <c r="G50" i="17"/>
  <c r="D62" i="17"/>
  <c r="G49" i="17"/>
  <c r="D61" i="17"/>
  <c r="G52" i="17"/>
  <c r="G53" i="17"/>
  <c r="D65" i="17"/>
  <c r="G47" i="17"/>
  <c r="D59" i="17"/>
  <c r="E13" i="17"/>
  <c r="E10" i="17"/>
  <c r="D178" i="17"/>
  <c r="J177" i="17"/>
  <c r="G218" i="17"/>
  <c r="G248" i="17" s="1"/>
  <c r="H209" i="17"/>
  <c r="B366" i="17"/>
  <c r="B392" i="17"/>
  <c r="B371" i="17"/>
  <c r="B397" i="17"/>
  <c r="B386" i="17"/>
  <c r="B360" i="17"/>
  <c r="B69" i="17"/>
  <c r="B70" i="17"/>
  <c r="F19" i="17"/>
  <c r="G2" i="17"/>
  <c r="G4" i="17"/>
  <c r="H207" i="17"/>
  <c r="E18" i="13"/>
  <c r="E17" i="13"/>
  <c r="H179" i="13"/>
  <c r="B180" i="13"/>
  <c r="D29" i="13"/>
  <c r="E89" i="13"/>
  <c r="E86" i="13"/>
  <c r="E97" i="13"/>
  <c r="E88" i="13"/>
  <c r="E55" i="13"/>
  <c r="C67" i="13"/>
  <c r="E47" i="13"/>
  <c r="C59" i="13"/>
  <c r="E54" i="13"/>
  <c r="C66" i="13"/>
  <c r="E53" i="13"/>
  <c r="C65" i="13"/>
  <c r="E52" i="13"/>
  <c r="E50" i="13"/>
  <c r="C62" i="13"/>
  <c r="E51" i="13"/>
  <c r="C63" i="13"/>
  <c r="E48" i="13"/>
  <c r="C60" i="13"/>
  <c r="E49" i="13"/>
  <c r="C61" i="13"/>
  <c r="D361" i="13"/>
  <c r="D387" i="13"/>
  <c r="D364" i="13"/>
  <c r="D390" i="13"/>
  <c r="D398" i="13"/>
  <c r="D372" i="13"/>
  <c r="D14" i="13"/>
  <c r="F205" i="13"/>
  <c r="F213" i="13"/>
  <c r="D13" i="13"/>
  <c r="F210" i="13"/>
  <c r="F212" i="13"/>
  <c r="D339" i="13"/>
  <c r="D333" i="13"/>
  <c r="D349" i="13"/>
  <c r="D332" i="13"/>
  <c r="D340" i="13"/>
  <c r="D348" i="13"/>
  <c r="D177" i="13"/>
  <c r="E9" i="13"/>
  <c r="G212" i="13" s="1"/>
  <c r="E27" i="13"/>
  <c r="E7" i="13"/>
  <c r="I177" i="13"/>
  <c r="E218" i="13" s="1"/>
  <c r="E248" i="13" s="1"/>
  <c r="C178" i="13"/>
  <c r="D380" i="13"/>
  <c r="D354" i="13"/>
  <c r="D389" i="13"/>
  <c r="D363" i="13"/>
  <c r="D402" i="13"/>
  <c r="D376" i="13"/>
  <c r="C247" i="13"/>
  <c r="B68" i="13"/>
  <c r="E28" i="13"/>
  <c r="B383" i="9"/>
  <c r="B357" i="9"/>
  <c r="B402" i="9"/>
  <c r="B376" i="9"/>
  <c r="B385" i="9"/>
  <c r="B359" i="9"/>
  <c r="B400" i="9"/>
  <c r="B374" i="9"/>
  <c r="B386" i="9"/>
  <c r="B360" i="9"/>
  <c r="I178" i="9"/>
  <c r="E219" i="9"/>
  <c r="E249" i="9" s="1"/>
  <c r="B372" i="9"/>
  <c r="B398" i="9"/>
  <c r="B366" i="9"/>
  <c r="B392" i="9"/>
  <c r="D99" i="9"/>
  <c r="B391" i="9"/>
  <c r="B365" i="9"/>
  <c r="B180" i="9"/>
  <c r="H179" i="9"/>
  <c r="C220" i="9" s="1"/>
  <c r="C250" i="9" s="1"/>
  <c r="B370" i="9"/>
  <c r="B396" i="9"/>
  <c r="B368" i="9"/>
  <c r="B394" i="9"/>
  <c r="B384" i="9"/>
  <c r="B358" i="9"/>
  <c r="B390" i="9"/>
  <c r="B364" i="9"/>
  <c r="H97" i="9"/>
  <c r="B395" i="9"/>
  <c r="B369" i="9"/>
  <c r="B367" i="9"/>
  <c r="B393" i="9"/>
  <c r="B401" i="9"/>
  <c r="B375" i="9"/>
  <c r="G97" i="5"/>
  <c r="H42" i="6"/>
  <c r="H43" i="6"/>
  <c r="H41" i="6"/>
  <c r="J177" i="5"/>
  <c r="G218" i="5" s="1"/>
  <c r="G248" i="5" s="1"/>
  <c r="H180" i="5"/>
  <c r="C221" i="5" s="1"/>
  <c r="C251" i="5" s="1"/>
  <c r="J97" i="5"/>
  <c r="I178" i="5"/>
  <c r="E219" i="5" s="1"/>
  <c r="E249" i="5" s="1"/>
  <c r="C220" i="5"/>
  <c r="C250" i="5" s="1"/>
  <c r="F40" i="6"/>
  <c r="D160" i="1"/>
  <c r="E160" i="1"/>
  <c r="F160" i="1"/>
  <c r="G160" i="1"/>
  <c r="C160" i="1"/>
  <c r="D30" i="13"/>
  <c r="L169" i="13"/>
  <c r="L163" i="13"/>
  <c r="L171" i="13"/>
  <c r="N167" i="29"/>
  <c r="N168" i="29"/>
  <c r="M162" i="17"/>
  <c r="M167" i="25"/>
  <c r="L170" i="13"/>
  <c r="M165" i="17"/>
  <c r="M171" i="25"/>
  <c r="M170" i="21"/>
  <c r="L167" i="13"/>
  <c r="M173" i="25"/>
  <c r="L166" i="13"/>
  <c r="L162" i="13"/>
  <c r="M166" i="25"/>
  <c r="L168" i="13"/>
  <c r="M162" i="25"/>
  <c r="M168" i="25"/>
  <c r="L164" i="13"/>
  <c r="L173" i="13"/>
  <c r="L172" i="13"/>
  <c r="M171" i="21"/>
  <c r="M173" i="21"/>
  <c r="G10" i="29"/>
  <c r="G14" i="29" s="1"/>
  <c r="I205" i="29" s="1"/>
  <c r="N169" i="29"/>
  <c r="N166" i="29"/>
  <c r="M164" i="21"/>
  <c r="M166" i="21"/>
  <c r="M169" i="25"/>
  <c r="M163" i="25"/>
  <c r="F338" i="17"/>
  <c r="H209" i="13"/>
  <c r="M163" i="17"/>
  <c r="M173" i="17"/>
  <c r="M169" i="21"/>
  <c r="F330" i="17"/>
  <c r="E30" i="17"/>
  <c r="M170" i="17"/>
  <c r="M167" i="17"/>
  <c r="M166" i="17"/>
  <c r="F347" i="21"/>
  <c r="I210" i="29"/>
  <c r="L165" i="13"/>
  <c r="M168" i="17"/>
  <c r="M164" i="17"/>
  <c r="M163" i="21"/>
  <c r="F331" i="17"/>
  <c r="E30" i="21"/>
  <c r="M172" i="21"/>
  <c r="M162" i="21"/>
  <c r="M165" i="21"/>
  <c r="M167" i="21"/>
  <c r="N163" i="29"/>
  <c r="N164" i="29"/>
  <c r="E30" i="25"/>
  <c r="M164" i="25"/>
  <c r="M165" i="25"/>
  <c r="M169" i="17"/>
  <c r="M172" i="17"/>
  <c r="D393" i="13"/>
  <c r="D382" i="13"/>
  <c r="D394" i="13"/>
  <c r="F338" i="29"/>
  <c r="F390" i="29"/>
  <c r="F328" i="29"/>
  <c r="F380" i="29"/>
  <c r="F335" i="29"/>
  <c r="F387" i="29" s="1"/>
  <c r="F344" i="29"/>
  <c r="F370" i="29" s="1"/>
  <c r="D370" i="13"/>
  <c r="F347" i="29"/>
  <c r="F373" i="29" s="1"/>
  <c r="F342" i="29"/>
  <c r="F351" i="29"/>
  <c r="F403" i="29" s="1"/>
  <c r="F337" i="29"/>
  <c r="F363" i="29" s="1"/>
  <c r="D388" i="13"/>
  <c r="F343" i="21"/>
  <c r="F335" i="21"/>
  <c r="F387" i="21"/>
  <c r="D386" i="13"/>
  <c r="D395" i="13"/>
  <c r="D403" i="13"/>
  <c r="D383" i="13"/>
  <c r="F340" i="21"/>
  <c r="F392" i="21"/>
  <c r="F330" i="21"/>
  <c r="F382" i="21" s="1"/>
  <c r="B304" i="21"/>
  <c r="F329" i="21"/>
  <c r="F339" i="21"/>
  <c r="F331" i="21"/>
  <c r="F357" i="21" s="1"/>
  <c r="F345" i="21"/>
  <c r="F397" i="21"/>
  <c r="D360" i="13"/>
  <c r="F338" i="21"/>
  <c r="F364" i="21" s="1"/>
  <c r="D396" i="13"/>
  <c r="D367" i="13"/>
  <c r="H54" i="13"/>
  <c r="H207" i="13"/>
  <c r="H86" i="13"/>
  <c r="H97" i="13"/>
  <c r="H53" i="13"/>
  <c r="F26" i="13"/>
  <c r="H52" i="13"/>
  <c r="H56" i="13" s="1"/>
  <c r="H247" i="13" s="1"/>
  <c r="F8" i="13"/>
  <c r="F6" i="13"/>
  <c r="H55" i="13"/>
  <c r="H49" i="13"/>
  <c r="H50" i="13"/>
  <c r="H47" i="13"/>
  <c r="F11" i="13"/>
  <c r="F12" i="13"/>
  <c r="F5" i="13"/>
  <c r="H88" i="13"/>
  <c r="H48" i="13"/>
  <c r="H89" i="13"/>
  <c r="H51" i="13"/>
  <c r="D362" i="13"/>
  <c r="D399" i="13"/>
  <c r="D371" i="13"/>
  <c r="D355" i="13"/>
  <c r="F19" i="13"/>
  <c r="G2" i="13"/>
  <c r="B182" i="37"/>
  <c r="H181" i="37"/>
  <c r="C222" i="37" s="1"/>
  <c r="C252" i="37" s="1"/>
  <c r="C221" i="37"/>
  <c r="C251" i="37"/>
  <c r="D14" i="33"/>
  <c r="F205" i="33" s="1"/>
  <c r="F213" i="33"/>
  <c r="F211" i="33"/>
  <c r="F34" i="34"/>
  <c r="F204" i="33"/>
  <c r="J331" i="29"/>
  <c r="J339" i="29"/>
  <c r="J347" i="29"/>
  <c r="J330" i="29"/>
  <c r="J338" i="29"/>
  <c r="J346" i="29"/>
  <c r="D276" i="29"/>
  <c r="D275" i="29"/>
  <c r="D277" i="29"/>
  <c r="D301" i="29"/>
  <c r="D302" i="29"/>
  <c r="I89" i="29"/>
  <c r="I86" i="29"/>
  <c r="I97" i="29"/>
  <c r="I88" i="29"/>
  <c r="I49" i="29"/>
  <c r="E61" i="29"/>
  <c r="I50" i="29"/>
  <c r="E62" i="29"/>
  <c r="I55" i="29"/>
  <c r="E67" i="29"/>
  <c r="I47" i="29"/>
  <c r="E59" i="29"/>
  <c r="I48" i="29"/>
  <c r="E60" i="29"/>
  <c r="I53" i="29"/>
  <c r="E65" i="29"/>
  <c r="I54" i="29"/>
  <c r="E66" i="29"/>
  <c r="I51" i="29"/>
  <c r="E63" i="29"/>
  <c r="I52" i="29"/>
  <c r="F13" i="29"/>
  <c r="H212" i="29"/>
  <c r="H210" i="29"/>
  <c r="F10" i="29"/>
  <c r="K177" i="29"/>
  <c r="I218" i="29"/>
  <c r="I248" i="29" s="1"/>
  <c r="E178" i="29"/>
  <c r="H337" i="29"/>
  <c r="H345" i="29"/>
  <c r="H328" i="29"/>
  <c r="H344" i="29"/>
  <c r="H338" i="29"/>
  <c r="F383" i="29"/>
  <c r="F357" i="29"/>
  <c r="F401" i="29"/>
  <c r="F375" i="29"/>
  <c r="F402" i="29"/>
  <c r="F376" i="29"/>
  <c r="F388" i="29"/>
  <c r="F362" i="29"/>
  <c r="F397" i="29"/>
  <c r="F371" i="29"/>
  <c r="G204" i="29"/>
  <c r="I211" i="29"/>
  <c r="K88" i="29"/>
  <c r="K89" i="29"/>
  <c r="K86" i="29"/>
  <c r="K97" i="29"/>
  <c r="K48" i="29"/>
  <c r="F60" i="29"/>
  <c r="K53" i="29"/>
  <c r="F65" i="29"/>
  <c r="K54" i="29"/>
  <c r="F66" i="29"/>
  <c r="K51" i="29"/>
  <c r="F63" i="29"/>
  <c r="K52" i="29"/>
  <c r="K49" i="29"/>
  <c r="F61" i="29"/>
  <c r="K55" i="29"/>
  <c r="F67" i="29"/>
  <c r="K50" i="29"/>
  <c r="F62" i="29"/>
  <c r="K47" i="29"/>
  <c r="F59" i="29"/>
  <c r="J333" i="29"/>
  <c r="J341" i="29"/>
  <c r="J349" i="29"/>
  <c r="J332" i="29"/>
  <c r="J340" i="29"/>
  <c r="J348" i="29"/>
  <c r="H331" i="29"/>
  <c r="H339" i="29"/>
  <c r="H347" i="29"/>
  <c r="H332" i="29"/>
  <c r="H348" i="29"/>
  <c r="H342" i="29"/>
  <c r="G13" i="29"/>
  <c r="L177" i="29"/>
  <c r="K218" i="29" s="1"/>
  <c r="K248" i="29" s="1"/>
  <c r="F178" i="29"/>
  <c r="J335" i="29"/>
  <c r="J343" i="29"/>
  <c r="J351" i="29"/>
  <c r="J334" i="29"/>
  <c r="J342" i="29"/>
  <c r="J350" i="29"/>
  <c r="H333" i="29"/>
  <c r="H341" i="29"/>
  <c r="H349" i="29"/>
  <c r="H336" i="29"/>
  <c r="H330" i="29"/>
  <c r="H346" i="29"/>
  <c r="H180" i="29"/>
  <c r="B181" i="29"/>
  <c r="I180" i="29"/>
  <c r="E221" i="29" s="1"/>
  <c r="E251" i="29" s="1"/>
  <c r="D304" i="29" s="1"/>
  <c r="C181" i="29"/>
  <c r="F386" i="29"/>
  <c r="F360" i="29"/>
  <c r="F369" i="29"/>
  <c r="F395" i="29"/>
  <c r="F381" i="29"/>
  <c r="F355" i="29"/>
  <c r="E14" i="29"/>
  <c r="G205" i="29" s="1"/>
  <c r="G211" i="29"/>
  <c r="F333" i="29"/>
  <c r="F340" i="29"/>
  <c r="G213" i="29"/>
  <c r="F341" i="29"/>
  <c r="F348" i="29"/>
  <c r="F332" i="29"/>
  <c r="F339" i="29"/>
  <c r="F346" i="29"/>
  <c r="F330" i="29"/>
  <c r="J247" i="29"/>
  <c r="H247" i="29"/>
  <c r="B301" i="29"/>
  <c r="B275" i="29"/>
  <c r="B276" i="29"/>
  <c r="G29" i="29"/>
  <c r="G30" i="29"/>
  <c r="J329" i="29"/>
  <c r="J337" i="29"/>
  <c r="J345" i="29"/>
  <c r="J328" i="29"/>
  <c r="J336" i="29"/>
  <c r="J344" i="29"/>
  <c r="H335" i="29"/>
  <c r="H343" i="29"/>
  <c r="H351" i="29"/>
  <c r="H340" i="29"/>
  <c r="H334" i="29"/>
  <c r="H350" i="29"/>
  <c r="C220" i="29"/>
  <c r="C250" i="29" s="1"/>
  <c r="B303" i="29" s="1"/>
  <c r="B277" i="29"/>
  <c r="D303" i="29"/>
  <c r="D179" i="29"/>
  <c r="J178" i="29"/>
  <c r="G219" i="29" s="1"/>
  <c r="G249" i="29" s="1"/>
  <c r="F302" i="29" s="1"/>
  <c r="G56" i="29"/>
  <c r="D64" i="29"/>
  <c r="F99" i="29"/>
  <c r="I213" i="29"/>
  <c r="D384" i="25"/>
  <c r="D358" i="25"/>
  <c r="F351" i="25"/>
  <c r="F342" i="25"/>
  <c r="D389" i="25"/>
  <c r="D363" i="25"/>
  <c r="D398" i="25"/>
  <c r="D372" i="25"/>
  <c r="F341" i="25"/>
  <c r="F332" i="25"/>
  <c r="G204" i="25"/>
  <c r="I208" i="25"/>
  <c r="I206" i="25"/>
  <c r="D393" i="25"/>
  <c r="D367" i="25"/>
  <c r="F99" i="25"/>
  <c r="D400" i="25"/>
  <c r="D374" i="25"/>
  <c r="E247" i="25"/>
  <c r="C68" i="25"/>
  <c r="F343" i="25"/>
  <c r="F334" i="25"/>
  <c r="D380" i="25"/>
  <c r="D354" i="25"/>
  <c r="D397" i="25"/>
  <c r="D371" i="25"/>
  <c r="D357" i="25"/>
  <c r="D383" i="25"/>
  <c r="F333" i="25"/>
  <c r="G3" i="25"/>
  <c r="G19" i="25" s="1"/>
  <c r="C180" i="25"/>
  <c r="I179" i="25"/>
  <c r="E220" i="25" s="1"/>
  <c r="E250" i="25" s="1"/>
  <c r="D303" i="25" s="1"/>
  <c r="G56" i="25"/>
  <c r="D64" i="25"/>
  <c r="E14" i="25"/>
  <c r="G205" i="25" s="1"/>
  <c r="G211" i="25"/>
  <c r="G213" i="25"/>
  <c r="F347" i="25"/>
  <c r="F339" i="25"/>
  <c r="F331" i="25"/>
  <c r="F346" i="25"/>
  <c r="F338" i="25"/>
  <c r="F330" i="25"/>
  <c r="F345" i="25"/>
  <c r="F337" i="25"/>
  <c r="F329" i="25"/>
  <c r="F344" i="25"/>
  <c r="F336" i="25"/>
  <c r="F328" i="25"/>
  <c r="F335" i="25"/>
  <c r="H207" i="25"/>
  <c r="H209" i="25"/>
  <c r="H88" i="25"/>
  <c r="H54" i="25"/>
  <c r="H52" i="25"/>
  <c r="H56" i="25" s="1"/>
  <c r="H247" i="25" s="1"/>
  <c r="H50" i="25"/>
  <c r="H48" i="25"/>
  <c r="F5" i="25"/>
  <c r="F8" i="25"/>
  <c r="F6" i="25"/>
  <c r="H89" i="25"/>
  <c r="H86" i="25"/>
  <c r="H97" i="25"/>
  <c r="H55" i="25"/>
  <c r="H53" i="25"/>
  <c r="H51" i="25"/>
  <c r="H49" i="25"/>
  <c r="H47" i="25"/>
  <c r="F26" i="25"/>
  <c r="F11" i="25"/>
  <c r="F12" i="25"/>
  <c r="D388" i="25"/>
  <c r="D362" i="25"/>
  <c r="D382" i="25"/>
  <c r="D356" i="25"/>
  <c r="D365" i="25"/>
  <c r="D391" i="25"/>
  <c r="H180" i="25"/>
  <c r="B181" i="25"/>
  <c r="B277" i="25"/>
  <c r="B301" i="25"/>
  <c r="B276" i="25"/>
  <c r="B275" i="25"/>
  <c r="F348" i="25"/>
  <c r="I207" i="25"/>
  <c r="I209" i="25"/>
  <c r="G5" i="25"/>
  <c r="J89" i="25"/>
  <c r="J86" i="25"/>
  <c r="J97" i="25"/>
  <c r="J55" i="25"/>
  <c r="J53" i="25"/>
  <c r="J51" i="25"/>
  <c r="J49" i="25"/>
  <c r="J47" i="25"/>
  <c r="G8" i="25"/>
  <c r="G26" i="25"/>
  <c r="G11" i="25"/>
  <c r="G12" i="25"/>
  <c r="J88" i="25"/>
  <c r="J54" i="25"/>
  <c r="J52" i="25"/>
  <c r="J56" i="25" s="1"/>
  <c r="J247" i="25" s="1"/>
  <c r="J50" i="25"/>
  <c r="J48" i="25"/>
  <c r="G25" i="25"/>
  <c r="G6" i="25"/>
  <c r="G18" i="25"/>
  <c r="D401" i="25"/>
  <c r="D375" i="25"/>
  <c r="D392" i="25"/>
  <c r="D366" i="25"/>
  <c r="F350" i="25"/>
  <c r="D179" i="25"/>
  <c r="J178" i="25"/>
  <c r="G219" i="25"/>
  <c r="G249" i="25" s="1"/>
  <c r="F302" i="25" s="1"/>
  <c r="D385" i="25"/>
  <c r="D359" i="25"/>
  <c r="D396" i="25"/>
  <c r="D370" i="25"/>
  <c r="D390" i="25"/>
  <c r="D364" i="25"/>
  <c r="D373" i="25"/>
  <c r="D399" i="25"/>
  <c r="F349" i="25"/>
  <c r="F340" i="25"/>
  <c r="D276" i="21"/>
  <c r="D277" i="21"/>
  <c r="D275" i="21"/>
  <c r="D301" i="21"/>
  <c r="F99" i="21"/>
  <c r="E177" i="21"/>
  <c r="F9" i="21"/>
  <c r="F7" i="21"/>
  <c r="F27" i="21"/>
  <c r="J178" i="21"/>
  <c r="G219" i="21"/>
  <c r="G249" i="21" s="1"/>
  <c r="D179" i="21"/>
  <c r="B305" i="21"/>
  <c r="B279" i="21"/>
  <c r="F373" i="21"/>
  <c r="F399" i="21"/>
  <c r="F18" i="21"/>
  <c r="F17" i="21"/>
  <c r="F28" i="21"/>
  <c r="G204" i="21"/>
  <c r="B183" i="21"/>
  <c r="H182" i="21"/>
  <c r="C223" i="21"/>
  <c r="C253" i="21" s="1"/>
  <c r="B306" i="21" s="1"/>
  <c r="I206" i="21"/>
  <c r="I208" i="21"/>
  <c r="E14" i="21"/>
  <c r="G205" i="21"/>
  <c r="G211" i="21"/>
  <c r="G213" i="21"/>
  <c r="F349" i="21"/>
  <c r="F341" i="21"/>
  <c r="F342" i="21"/>
  <c r="F332" i="21"/>
  <c r="F350" i="21"/>
  <c r="F333" i="21"/>
  <c r="F337" i="21"/>
  <c r="F336" i="21"/>
  <c r="F334" i="21"/>
  <c r="D302" i="21"/>
  <c r="C181" i="21"/>
  <c r="I180" i="21"/>
  <c r="E221" i="21" s="1"/>
  <c r="E251" i="21" s="1"/>
  <c r="D304" i="21" s="1"/>
  <c r="F348" i="21"/>
  <c r="G4" i="21"/>
  <c r="F344" i="21"/>
  <c r="G56" i="21"/>
  <c r="D69" i="21"/>
  <c r="D70" i="21"/>
  <c r="D64" i="21"/>
  <c r="F346" i="21"/>
  <c r="F328" i="21"/>
  <c r="F351" i="21"/>
  <c r="J89" i="17"/>
  <c r="J86" i="17"/>
  <c r="J97" i="17"/>
  <c r="J55" i="17"/>
  <c r="J53" i="17"/>
  <c r="J51" i="17"/>
  <c r="J49" i="17"/>
  <c r="J47" i="17"/>
  <c r="G11" i="17"/>
  <c r="J54" i="17"/>
  <c r="J50" i="17"/>
  <c r="J88" i="17"/>
  <c r="J52" i="17"/>
  <c r="J56" i="17"/>
  <c r="J247" i="17" s="1"/>
  <c r="J48" i="17"/>
  <c r="G12" i="17"/>
  <c r="G25" i="17"/>
  <c r="G26" i="17"/>
  <c r="G8" i="17"/>
  <c r="G6" i="17"/>
  <c r="G204" i="17"/>
  <c r="G56" i="17"/>
  <c r="D69" i="17"/>
  <c r="D70" i="17"/>
  <c r="D64" i="17"/>
  <c r="G3" i="17"/>
  <c r="G19" i="17" s="1"/>
  <c r="F333" i="17"/>
  <c r="D179" i="17"/>
  <c r="J178" i="17"/>
  <c r="G219" i="17"/>
  <c r="G249" i="17" s="1"/>
  <c r="F302" i="17" s="1"/>
  <c r="B276" i="17"/>
  <c r="B275" i="17"/>
  <c r="B301" i="17"/>
  <c r="I89" i="17"/>
  <c r="I86" i="17"/>
  <c r="I97" i="17"/>
  <c r="I88" i="17"/>
  <c r="I51" i="17"/>
  <c r="E63" i="17"/>
  <c r="I54" i="17"/>
  <c r="E66" i="17"/>
  <c r="I52" i="17"/>
  <c r="I49" i="17"/>
  <c r="E61" i="17"/>
  <c r="I50" i="17"/>
  <c r="E62" i="17"/>
  <c r="I48" i="17"/>
  <c r="E60" i="17"/>
  <c r="I55" i="17"/>
  <c r="E67" i="17"/>
  <c r="I47" i="17"/>
  <c r="E59" i="17"/>
  <c r="I53" i="17"/>
  <c r="E65" i="17"/>
  <c r="F29" i="17"/>
  <c r="N163" i="17"/>
  <c r="F382" i="17"/>
  <c r="F356" i="17"/>
  <c r="C220" i="17"/>
  <c r="C250" i="17" s="1"/>
  <c r="B303" i="17" s="1"/>
  <c r="B277" i="17"/>
  <c r="C181" i="17"/>
  <c r="I180" i="17"/>
  <c r="E221" i="17"/>
  <c r="E251" i="17" s="1"/>
  <c r="D304" i="17" s="1"/>
  <c r="F13" i="17"/>
  <c r="K177" i="17"/>
  <c r="I218" i="17"/>
  <c r="I248" i="17" s="1"/>
  <c r="E178" i="17"/>
  <c r="F346" i="17"/>
  <c r="F343" i="17"/>
  <c r="F10" i="17"/>
  <c r="H349" i="17"/>
  <c r="I206" i="17"/>
  <c r="I207" i="17"/>
  <c r="I208" i="17"/>
  <c r="I209" i="17"/>
  <c r="F390" i="17"/>
  <c r="F364" i="17"/>
  <c r="F357" i="17"/>
  <c r="F383" i="17"/>
  <c r="E14" i="17"/>
  <c r="G205" i="17"/>
  <c r="F348" i="17"/>
  <c r="F340" i="17"/>
  <c r="F332" i="17"/>
  <c r="F341" i="17"/>
  <c r="F329" i="17"/>
  <c r="F339" i="17"/>
  <c r="G211" i="17"/>
  <c r="G213" i="17"/>
  <c r="F350" i="17"/>
  <c r="F344" i="17"/>
  <c r="F336" i="17"/>
  <c r="F328" i="17"/>
  <c r="F345" i="17"/>
  <c r="F335" i="17"/>
  <c r="F351" i="17"/>
  <c r="F342" i="17"/>
  <c r="F334" i="17"/>
  <c r="F349" i="17"/>
  <c r="F337" i="17"/>
  <c r="F347" i="17"/>
  <c r="F99" i="17"/>
  <c r="H180" i="17"/>
  <c r="B181" i="17"/>
  <c r="D277" i="17"/>
  <c r="D275" i="17"/>
  <c r="D276" i="17"/>
  <c r="D301" i="17"/>
  <c r="H212" i="17"/>
  <c r="H210" i="17"/>
  <c r="D303" i="17"/>
  <c r="D302" i="17"/>
  <c r="E29" i="13"/>
  <c r="M169" i="13"/>
  <c r="D365" i="13"/>
  <c r="D391" i="13"/>
  <c r="D99" i="13"/>
  <c r="D401" i="13"/>
  <c r="D375" i="13"/>
  <c r="B181" i="13"/>
  <c r="H180" i="13"/>
  <c r="E13" i="13"/>
  <c r="E10" i="13"/>
  <c r="D178" i="13"/>
  <c r="J177" i="13"/>
  <c r="G218" i="13" s="1"/>
  <c r="G248" i="13" s="1"/>
  <c r="F339" i="13"/>
  <c r="D400" i="13"/>
  <c r="D374" i="13"/>
  <c r="D385" i="13"/>
  <c r="D359" i="13"/>
  <c r="F204" i="13"/>
  <c r="E56" i="13"/>
  <c r="C69" i="13"/>
  <c r="C70" i="13"/>
  <c r="C64" i="13"/>
  <c r="C220" i="13"/>
  <c r="C250" i="13" s="1"/>
  <c r="B303" i="13" s="1"/>
  <c r="D384" i="13"/>
  <c r="D358" i="13"/>
  <c r="B275" i="13"/>
  <c r="B301" i="13"/>
  <c r="B276" i="13"/>
  <c r="G88" i="13"/>
  <c r="G86" i="13"/>
  <c r="G97" i="13"/>
  <c r="G89" i="13"/>
  <c r="G54" i="13"/>
  <c r="D66" i="13"/>
  <c r="G49" i="13"/>
  <c r="D61" i="13"/>
  <c r="G52" i="13"/>
  <c r="G55" i="13"/>
  <c r="D67" i="13"/>
  <c r="G47" i="13"/>
  <c r="D59" i="13"/>
  <c r="G50" i="13"/>
  <c r="D62" i="13"/>
  <c r="G51" i="13"/>
  <c r="D63" i="13"/>
  <c r="G48" i="13"/>
  <c r="D60" i="13"/>
  <c r="G53" i="13"/>
  <c r="D65" i="13"/>
  <c r="I178" i="13"/>
  <c r="E219" i="13"/>
  <c r="E249" i="13" s="1"/>
  <c r="C179" i="13"/>
  <c r="D366" i="13"/>
  <c r="D392" i="13"/>
  <c r="B181" i="9"/>
  <c r="H180" i="9"/>
  <c r="I179" i="9"/>
  <c r="E220" i="9"/>
  <c r="E250" i="9" s="1"/>
  <c r="G97" i="9"/>
  <c r="J177" i="9"/>
  <c r="G218" i="9"/>
  <c r="G248" i="9" s="1"/>
  <c r="H40" i="6"/>
  <c r="K177" i="5"/>
  <c r="I218" i="5" s="1"/>
  <c r="I248" i="5" s="1"/>
  <c r="I179" i="5"/>
  <c r="E220" i="5" s="1"/>
  <c r="E250" i="5" s="1"/>
  <c r="I97" i="5"/>
  <c r="J43" i="6"/>
  <c r="J41" i="6"/>
  <c r="J42" i="6"/>
  <c r="H181" i="5"/>
  <c r="C222" i="5" s="1"/>
  <c r="C252" i="5" s="1"/>
  <c r="B305" i="5" s="1"/>
  <c r="J178" i="5"/>
  <c r="G219" i="5" s="1"/>
  <c r="G249" i="5" s="1"/>
  <c r="F99" i="5"/>
  <c r="H160" i="1"/>
  <c r="F347" i="13"/>
  <c r="N164" i="17"/>
  <c r="N169" i="17"/>
  <c r="N166" i="17"/>
  <c r="O165" i="29"/>
  <c r="M171" i="13"/>
  <c r="O168" i="29"/>
  <c r="F331" i="13"/>
  <c r="O170" i="29"/>
  <c r="M166" i="13"/>
  <c r="F341" i="13"/>
  <c r="E30" i="13"/>
  <c r="M163" i="13"/>
  <c r="M165" i="13"/>
  <c r="M162" i="13"/>
  <c r="M173" i="13"/>
  <c r="M172" i="13"/>
  <c r="M167" i="13"/>
  <c r="M168" i="13"/>
  <c r="M164" i="13"/>
  <c r="O163" i="29"/>
  <c r="O173" i="29"/>
  <c r="F342" i="13"/>
  <c r="F30" i="17"/>
  <c r="N170" i="17"/>
  <c r="N171" i="17"/>
  <c r="N165" i="17"/>
  <c r="N167" i="17"/>
  <c r="N168" i="17"/>
  <c r="H329" i="29"/>
  <c r="N162" i="17"/>
  <c r="O171" i="29"/>
  <c r="O167" i="29"/>
  <c r="O169" i="29"/>
  <c r="O164" i="29"/>
  <c r="H335" i="17"/>
  <c r="O166" i="29"/>
  <c r="O162" i="29"/>
  <c r="O172" i="29"/>
  <c r="M170" i="13"/>
  <c r="N173" i="17"/>
  <c r="N172" i="17"/>
  <c r="D278" i="29"/>
  <c r="D278" i="17"/>
  <c r="F390" i="21"/>
  <c r="F396" i="29"/>
  <c r="F365" i="21"/>
  <c r="F389" i="29"/>
  <c r="F391" i="21"/>
  <c r="F361" i="29"/>
  <c r="F399" i="29"/>
  <c r="F383" i="21"/>
  <c r="F364" i="29"/>
  <c r="F394" i="29"/>
  <c r="F395" i="21"/>
  <c r="F369" i="21"/>
  <c r="F354" i="29"/>
  <c r="F356" i="21"/>
  <c r="F371" i="21"/>
  <c r="F377" i="29"/>
  <c r="F368" i="29"/>
  <c r="F361" i="21"/>
  <c r="G28" i="25"/>
  <c r="F381" i="21"/>
  <c r="F366" i="21"/>
  <c r="F355" i="21"/>
  <c r="H345" i="17"/>
  <c r="H336" i="17"/>
  <c r="H362" i="17"/>
  <c r="B277" i="13"/>
  <c r="I208" i="13"/>
  <c r="I206" i="13"/>
  <c r="G4" i="13"/>
  <c r="G3" i="13"/>
  <c r="G19" i="13" s="1"/>
  <c r="F17" i="13"/>
  <c r="F18" i="13"/>
  <c r="E177" i="13"/>
  <c r="F7" i="13"/>
  <c r="F27" i="13"/>
  <c r="F9" i="13"/>
  <c r="F28" i="13"/>
  <c r="B305" i="37"/>
  <c r="B183" i="37"/>
  <c r="H182" i="37"/>
  <c r="C223" i="37" s="1"/>
  <c r="C253" i="37" s="1"/>
  <c r="B306" i="37" s="1"/>
  <c r="H395" i="29"/>
  <c r="H369" i="29"/>
  <c r="J363" i="29"/>
  <c r="J389" i="29"/>
  <c r="H181" i="29"/>
  <c r="C222" i="29"/>
  <c r="C252" i="29" s="1"/>
  <c r="B182" i="29"/>
  <c r="H385" i="29"/>
  <c r="H359" i="29"/>
  <c r="J395" i="29"/>
  <c r="J369" i="29"/>
  <c r="H399" i="29"/>
  <c r="H373" i="29"/>
  <c r="J384" i="29"/>
  <c r="J358" i="29"/>
  <c r="K56" i="29"/>
  <c r="F69" i="29"/>
  <c r="F64" i="29"/>
  <c r="H396" i="29"/>
  <c r="H370" i="29"/>
  <c r="H381" i="29"/>
  <c r="H355" i="29"/>
  <c r="J382" i="29"/>
  <c r="J356" i="29"/>
  <c r="H392" i="29"/>
  <c r="H366" i="29"/>
  <c r="J381" i="29"/>
  <c r="J355" i="29"/>
  <c r="F358" i="29"/>
  <c r="F384" i="29"/>
  <c r="C221" i="29"/>
  <c r="C251" i="29"/>
  <c r="B304" i="29" s="1"/>
  <c r="B278" i="29"/>
  <c r="J394" i="29"/>
  <c r="J368" i="29"/>
  <c r="I204" i="29"/>
  <c r="H400" i="29"/>
  <c r="H374" i="29"/>
  <c r="J375" i="29"/>
  <c r="J401" i="29"/>
  <c r="H380" i="29"/>
  <c r="H354" i="29"/>
  <c r="E179" i="29"/>
  <c r="K178" i="29"/>
  <c r="I219" i="29" s="1"/>
  <c r="I249" i="29" s="1"/>
  <c r="J399" i="29"/>
  <c r="J373" i="29"/>
  <c r="D180" i="29"/>
  <c r="J179" i="29"/>
  <c r="G220" i="29" s="1"/>
  <c r="G250" i="29" s="1"/>
  <c r="H386" i="29"/>
  <c r="H360" i="29"/>
  <c r="J396" i="29"/>
  <c r="J370" i="29"/>
  <c r="F365" i="29"/>
  <c r="F391" i="29"/>
  <c r="H388" i="29"/>
  <c r="H362" i="29"/>
  <c r="J402" i="29"/>
  <c r="J376" i="29"/>
  <c r="H368" i="29"/>
  <c r="H394" i="29"/>
  <c r="I56" i="29"/>
  <c r="E69" i="29"/>
  <c r="E64" i="29"/>
  <c r="H361" i="29"/>
  <c r="H387" i="29"/>
  <c r="J362" i="29"/>
  <c r="J388" i="29"/>
  <c r="F392" i="29"/>
  <c r="F366" i="29"/>
  <c r="J387" i="29"/>
  <c r="J361" i="29"/>
  <c r="H391" i="29"/>
  <c r="H365" i="29"/>
  <c r="J99" i="29"/>
  <c r="G247" i="29"/>
  <c r="D68" i="29"/>
  <c r="J380" i="29"/>
  <c r="J354" i="29"/>
  <c r="F382" i="29"/>
  <c r="F356" i="29"/>
  <c r="F374" i="29"/>
  <c r="F400" i="29"/>
  <c r="F385" i="29"/>
  <c r="F359" i="29"/>
  <c r="I181" i="29"/>
  <c r="E222" i="29" s="1"/>
  <c r="E252" i="29" s="1"/>
  <c r="C182" i="29"/>
  <c r="H372" i="29"/>
  <c r="H398" i="29"/>
  <c r="H375" i="29"/>
  <c r="H401" i="29"/>
  <c r="J360" i="29"/>
  <c r="J386" i="29"/>
  <c r="H384" i="29"/>
  <c r="H358" i="29"/>
  <c r="H357" i="29"/>
  <c r="H383" i="29"/>
  <c r="J400" i="29"/>
  <c r="J374" i="29"/>
  <c r="J393" i="29"/>
  <c r="J367" i="29"/>
  <c r="H397" i="29"/>
  <c r="H371" i="29"/>
  <c r="H204" i="29"/>
  <c r="H99" i="29"/>
  <c r="J398" i="29"/>
  <c r="J372" i="29"/>
  <c r="J391" i="29"/>
  <c r="J365" i="29"/>
  <c r="H376" i="29"/>
  <c r="H402" i="29"/>
  <c r="H377" i="29"/>
  <c r="H403" i="29"/>
  <c r="J371" i="29"/>
  <c r="J397" i="29"/>
  <c r="F372" i="29"/>
  <c r="F398" i="29"/>
  <c r="F393" i="29"/>
  <c r="F367" i="29"/>
  <c r="H382" i="29"/>
  <c r="H356" i="29"/>
  <c r="H393" i="29"/>
  <c r="H367" i="29"/>
  <c r="J403" i="29"/>
  <c r="J377" i="29"/>
  <c r="L178" i="29"/>
  <c r="K219" i="29" s="1"/>
  <c r="K249" i="29" s="1"/>
  <c r="F179" i="29"/>
  <c r="J392" i="29"/>
  <c r="J366" i="29"/>
  <c r="J385" i="29"/>
  <c r="J359" i="29"/>
  <c r="D69" i="29"/>
  <c r="D70" i="29"/>
  <c r="H390" i="29"/>
  <c r="H364" i="29"/>
  <c r="H389" i="29"/>
  <c r="H363" i="29"/>
  <c r="F14" i="29"/>
  <c r="H205" i="29" s="1"/>
  <c r="H211" i="29"/>
  <c r="H213" i="29"/>
  <c r="J364" i="29"/>
  <c r="J390" i="29"/>
  <c r="J383" i="29"/>
  <c r="J357" i="29"/>
  <c r="F375" i="25"/>
  <c r="F401" i="25"/>
  <c r="F376" i="25"/>
  <c r="F402" i="25"/>
  <c r="O169" i="25"/>
  <c r="O165" i="25"/>
  <c r="F177" i="25"/>
  <c r="O167" i="25"/>
  <c r="O163" i="25"/>
  <c r="O172" i="25"/>
  <c r="O164" i="25"/>
  <c r="G9" i="25"/>
  <c r="O170" i="25"/>
  <c r="G27" i="25"/>
  <c r="G29" i="25" s="1"/>
  <c r="G30" i="25" s="1"/>
  <c r="O166" i="25"/>
  <c r="G7" i="25"/>
  <c r="O162" i="25"/>
  <c r="C221" i="25"/>
  <c r="C251" i="25" s="1"/>
  <c r="B304" i="25" s="1"/>
  <c r="B278" i="25"/>
  <c r="F381" i="25"/>
  <c r="F355" i="25"/>
  <c r="F390" i="25"/>
  <c r="F364" i="25"/>
  <c r="F399" i="25"/>
  <c r="F373" i="25"/>
  <c r="G247" i="25"/>
  <c r="D68" i="25"/>
  <c r="G17" i="25"/>
  <c r="F393" i="25"/>
  <c r="F367" i="25"/>
  <c r="F400" i="25"/>
  <c r="F374" i="25"/>
  <c r="E177" i="25"/>
  <c r="F9" i="25"/>
  <c r="F27" i="25"/>
  <c r="F7" i="25"/>
  <c r="F380" i="25"/>
  <c r="F354" i="25"/>
  <c r="F389" i="25"/>
  <c r="F363" i="25"/>
  <c r="F398" i="25"/>
  <c r="F372" i="25"/>
  <c r="F385" i="25"/>
  <c r="F359" i="25"/>
  <c r="D277" i="25"/>
  <c r="D275" i="25"/>
  <c r="D276" i="25"/>
  <c r="D301" i="25"/>
  <c r="F368" i="25"/>
  <c r="F394" i="25"/>
  <c r="F28" i="25"/>
  <c r="F388" i="25"/>
  <c r="F362" i="25"/>
  <c r="F397" i="25"/>
  <c r="F371" i="25"/>
  <c r="F383" i="25"/>
  <c r="F357" i="25"/>
  <c r="C181" i="25"/>
  <c r="I180" i="25"/>
  <c r="F360" i="25"/>
  <c r="F386" i="25"/>
  <c r="I210" i="25"/>
  <c r="D69" i="25"/>
  <c r="D70" i="25"/>
  <c r="F403" i="25"/>
  <c r="F377" i="25"/>
  <c r="F392" i="25"/>
  <c r="F366" i="25"/>
  <c r="D180" i="25"/>
  <c r="J179" i="25"/>
  <c r="G220" i="25"/>
  <c r="G250" i="25" s="1"/>
  <c r="F303" i="25" s="1"/>
  <c r="H181" i="25"/>
  <c r="C222" i="25" s="1"/>
  <c r="C252" i="25" s="1"/>
  <c r="B182" i="25"/>
  <c r="F17" i="25"/>
  <c r="F18" i="25"/>
  <c r="F387" i="25"/>
  <c r="F361" i="25"/>
  <c r="F396" i="25"/>
  <c r="F370" i="25"/>
  <c r="F382" i="25"/>
  <c r="F356" i="25"/>
  <c r="F391" i="25"/>
  <c r="F365" i="25"/>
  <c r="F395" i="25"/>
  <c r="F369" i="25"/>
  <c r="I212" i="25"/>
  <c r="F384" i="25"/>
  <c r="F358" i="25"/>
  <c r="F396" i="21"/>
  <c r="F370" i="21"/>
  <c r="F358" i="21"/>
  <c r="F384" i="21"/>
  <c r="I89" i="21"/>
  <c r="I86" i="21"/>
  <c r="I97" i="21"/>
  <c r="I88" i="21"/>
  <c r="I53" i="21"/>
  <c r="E65" i="21"/>
  <c r="I52" i="21"/>
  <c r="I49" i="21"/>
  <c r="E61" i="21"/>
  <c r="I48" i="21"/>
  <c r="E60" i="21"/>
  <c r="I55" i="21"/>
  <c r="E67" i="21"/>
  <c r="I51" i="21"/>
  <c r="E63" i="21"/>
  <c r="I54" i="21"/>
  <c r="E66" i="21"/>
  <c r="I47" i="21"/>
  <c r="E59" i="21"/>
  <c r="I50" i="21"/>
  <c r="E62" i="21"/>
  <c r="F13" i="21"/>
  <c r="H210" i="21"/>
  <c r="H212" i="21"/>
  <c r="F377" i="21"/>
  <c r="F403" i="21"/>
  <c r="F380" i="21"/>
  <c r="F354" i="21"/>
  <c r="C182" i="21"/>
  <c r="I181" i="21"/>
  <c r="E222" i="21" s="1"/>
  <c r="E252" i="21" s="1"/>
  <c r="F359" i="21"/>
  <c r="F385" i="21"/>
  <c r="F393" i="21"/>
  <c r="F367" i="21"/>
  <c r="J179" i="21"/>
  <c r="G220" i="21" s="1"/>
  <c r="G250" i="21" s="1"/>
  <c r="D180" i="21"/>
  <c r="F398" i="21"/>
  <c r="F372" i="21"/>
  <c r="F386" i="21"/>
  <c r="F360" i="21"/>
  <c r="F362" i="21"/>
  <c r="F388" i="21"/>
  <c r="F402" i="21"/>
  <c r="F376" i="21"/>
  <c r="F375" i="21"/>
  <c r="F401" i="21"/>
  <c r="B280" i="21"/>
  <c r="D278" i="21"/>
  <c r="F374" i="21"/>
  <c r="F400" i="21"/>
  <c r="F363" i="21"/>
  <c r="F389" i="21"/>
  <c r="B184" i="21"/>
  <c r="H183" i="21"/>
  <c r="C224" i="21" s="1"/>
  <c r="C254" i="21" s="1"/>
  <c r="H340" i="21"/>
  <c r="F10" i="21"/>
  <c r="G247" i="21"/>
  <c r="D68" i="21"/>
  <c r="I209" i="21"/>
  <c r="I207" i="21"/>
  <c r="J89" i="21"/>
  <c r="J86" i="21"/>
  <c r="J97" i="21"/>
  <c r="J55" i="21"/>
  <c r="J53" i="21"/>
  <c r="J51" i="21"/>
  <c r="J49" i="21"/>
  <c r="J47" i="21"/>
  <c r="G8" i="21"/>
  <c r="G6" i="21"/>
  <c r="J88" i="21"/>
  <c r="J54" i="21"/>
  <c r="J52" i="21"/>
  <c r="J56" i="21" s="1"/>
  <c r="J247" i="21" s="1"/>
  <c r="J50" i="21"/>
  <c r="J48" i="21"/>
  <c r="G25" i="21"/>
  <c r="G26" i="21"/>
  <c r="G5" i="21"/>
  <c r="G11" i="21"/>
  <c r="G12" i="21"/>
  <c r="F394" i="21"/>
  <c r="F368" i="21"/>
  <c r="F29" i="21"/>
  <c r="N164" i="21"/>
  <c r="E178" i="21"/>
  <c r="K177" i="21"/>
  <c r="I218" i="21"/>
  <c r="I248" i="21" s="1"/>
  <c r="H334" i="21"/>
  <c r="H350" i="21"/>
  <c r="H401" i="17"/>
  <c r="H375" i="17"/>
  <c r="G17" i="17"/>
  <c r="G18" i="17"/>
  <c r="F401" i="17"/>
  <c r="F375" i="17"/>
  <c r="F391" i="17"/>
  <c r="F365" i="17"/>
  <c r="H387" i="17"/>
  <c r="H361" i="17"/>
  <c r="F398" i="17"/>
  <c r="F372" i="17"/>
  <c r="H350" i="17"/>
  <c r="H344" i="17"/>
  <c r="F389" i="17"/>
  <c r="F363" i="17"/>
  <c r="F377" i="17"/>
  <c r="F403" i="17"/>
  <c r="F362" i="17"/>
  <c r="F388" i="17"/>
  <c r="F358" i="17"/>
  <c r="F384" i="17"/>
  <c r="H343" i="17"/>
  <c r="H334" i="17"/>
  <c r="F395" i="17"/>
  <c r="F369" i="17"/>
  <c r="H338" i="17"/>
  <c r="H204" i="17"/>
  <c r="H341" i="17"/>
  <c r="H332" i="17"/>
  <c r="D180" i="17"/>
  <c r="J179" i="17"/>
  <c r="G220" i="17" s="1"/>
  <c r="G250" i="17" s="1"/>
  <c r="F303" i="17" s="1"/>
  <c r="H347" i="17"/>
  <c r="F361" i="17"/>
  <c r="F387" i="17"/>
  <c r="F366" i="17"/>
  <c r="F392" i="17"/>
  <c r="H339" i="17"/>
  <c r="H337" i="17"/>
  <c r="H328" i="17"/>
  <c r="C221" i="17"/>
  <c r="C251" i="17" s="1"/>
  <c r="B278" i="17"/>
  <c r="F360" i="17"/>
  <c r="F386" i="17"/>
  <c r="F397" i="17"/>
  <c r="F371" i="17"/>
  <c r="F376" i="17"/>
  <c r="F402" i="17"/>
  <c r="F381" i="17"/>
  <c r="F355" i="17"/>
  <c r="F374" i="17"/>
  <c r="F400" i="17"/>
  <c r="H213" i="17"/>
  <c r="H351" i="17"/>
  <c r="H348" i="17"/>
  <c r="I56" i="17"/>
  <c r="E69" i="17"/>
  <c r="E64" i="17"/>
  <c r="H99" i="17"/>
  <c r="H331" i="17"/>
  <c r="G247" i="17"/>
  <c r="D68" i="17"/>
  <c r="H181" i="17"/>
  <c r="C222" i="17" s="1"/>
  <c r="C252" i="17" s="1"/>
  <c r="B182" i="17"/>
  <c r="F396" i="17"/>
  <c r="F370" i="17"/>
  <c r="F14" i="17"/>
  <c r="H205" i="17" s="1"/>
  <c r="H346" i="17"/>
  <c r="K178" i="17"/>
  <c r="I219" i="17" s="1"/>
  <c r="I249" i="17" s="1"/>
  <c r="E179" i="17"/>
  <c r="H333" i="17"/>
  <c r="F385" i="17"/>
  <c r="F359" i="17"/>
  <c r="H329" i="17"/>
  <c r="F399" i="17"/>
  <c r="F373" i="17"/>
  <c r="F394" i="17"/>
  <c r="F368" i="17"/>
  <c r="F380" i="17"/>
  <c r="F354" i="17"/>
  <c r="F393" i="17"/>
  <c r="F367" i="17"/>
  <c r="H342" i="17"/>
  <c r="C182" i="17"/>
  <c r="I181" i="17"/>
  <c r="E222" i="17" s="1"/>
  <c r="E252" i="17" s="1"/>
  <c r="H340" i="17"/>
  <c r="H211" i="17"/>
  <c r="H330" i="17"/>
  <c r="G5" i="17"/>
  <c r="I179" i="13"/>
  <c r="E220" i="13"/>
  <c r="E250" i="13" s="1"/>
  <c r="D303" i="13" s="1"/>
  <c r="C180" i="13"/>
  <c r="F383" i="13"/>
  <c r="F357" i="13"/>
  <c r="F367" i="13"/>
  <c r="F393" i="13"/>
  <c r="J178" i="13"/>
  <c r="G219" i="13"/>
  <c r="G249" i="13" s="1"/>
  <c r="D179" i="13"/>
  <c r="C221" i="13"/>
  <c r="C251" i="13" s="1"/>
  <c r="B278" i="13"/>
  <c r="F399" i="13"/>
  <c r="F373" i="13"/>
  <c r="E14" i="13"/>
  <c r="G205" i="13" s="1"/>
  <c r="G213" i="13"/>
  <c r="F348" i="13"/>
  <c r="F340" i="13"/>
  <c r="F332" i="13"/>
  <c r="F345" i="13"/>
  <c r="F346" i="13"/>
  <c r="F330" i="13"/>
  <c r="F336" i="13"/>
  <c r="F343" i="13"/>
  <c r="F349" i="13"/>
  <c r="F334" i="13"/>
  <c r="G211" i="13"/>
  <c r="F329" i="13"/>
  <c r="F344" i="13"/>
  <c r="F328" i="13"/>
  <c r="F337" i="13"/>
  <c r="F338" i="13"/>
  <c r="F351" i="13"/>
  <c r="F335" i="13"/>
  <c r="F333" i="13"/>
  <c r="F350" i="13"/>
  <c r="H181" i="13"/>
  <c r="C222" i="13"/>
  <c r="C252" i="13" s="1"/>
  <c r="B182" i="13"/>
  <c r="G56" i="13"/>
  <c r="D64" i="13"/>
  <c r="F99" i="13"/>
  <c r="E247" i="13"/>
  <c r="C68" i="13"/>
  <c r="F365" i="13"/>
  <c r="F391" i="13"/>
  <c r="F368" i="13"/>
  <c r="F394" i="13"/>
  <c r="D69" i="13"/>
  <c r="D70" i="13"/>
  <c r="G204" i="13"/>
  <c r="C157" i="9"/>
  <c r="F99" i="9"/>
  <c r="B182" i="9"/>
  <c r="H181" i="9"/>
  <c r="C222" i="9"/>
  <c r="C252" i="9" s="1"/>
  <c r="J178" i="9"/>
  <c r="G219" i="9" s="1"/>
  <c r="G249" i="9" s="1"/>
  <c r="I180" i="9"/>
  <c r="E221" i="9"/>
  <c r="E251" i="9" s="1"/>
  <c r="C221" i="9"/>
  <c r="C251" i="9" s="1"/>
  <c r="J179" i="5"/>
  <c r="G220" i="5" s="1"/>
  <c r="G250" i="5" s="1"/>
  <c r="H182" i="5"/>
  <c r="C223" i="5" s="1"/>
  <c r="C253" i="5" s="1"/>
  <c r="K97" i="5"/>
  <c r="L43" i="6"/>
  <c r="L42" i="6"/>
  <c r="L41" i="6"/>
  <c r="L177" i="5"/>
  <c r="K218" i="5" s="1"/>
  <c r="K248" i="5" s="1"/>
  <c r="K178" i="5"/>
  <c r="I219" i="5" s="1"/>
  <c r="I249" i="5" s="1"/>
  <c r="J40" i="6"/>
  <c r="I180" i="5"/>
  <c r="E221" i="5" s="1"/>
  <c r="E251" i="5" s="1"/>
  <c r="O168" i="25"/>
  <c r="O173" i="25"/>
  <c r="F30" i="21"/>
  <c r="N166" i="21"/>
  <c r="N172" i="21"/>
  <c r="N173" i="21"/>
  <c r="N167" i="21"/>
  <c r="N169" i="21"/>
  <c r="O171" i="25"/>
  <c r="F29" i="13"/>
  <c r="N167" i="13"/>
  <c r="N162" i="13"/>
  <c r="N171" i="21"/>
  <c r="N163" i="21"/>
  <c r="N168" i="21"/>
  <c r="N165" i="21"/>
  <c r="N163" i="13"/>
  <c r="N168" i="13"/>
  <c r="N162" i="21"/>
  <c r="N170" i="21"/>
  <c r="H397" i="17"/>
  <c r="H371" i="17"/>
  <c r="F301" i="25"/>
  <c r="H348" i="21"/>
  <c r="H329" i="21"/>
  <c r="H381" i="21"/>
  <c r="H349" i="21"/>
  <c r="H375" i="21"/>
  <c r="H344" i="21"/>
  <c r="H396" i="21" s="1"/>
  <c r="H333" i="21"/>
  <c r="H359" i="21" s="1"/>
  <c r="H388" i="17"/>
  <c r="H342" i="21"/>
  <c r="H394" i="21" s="1"/>
  <c r="H347" i="21"/>
  <c r="H373" i="21"/>
  <c r="F13" i="13"/>
  <c r="H347" i="13"/>
  <c r="H212" i="13"/>
  <c r="H210" i="13"/>
  <c r="F10" i="13"/>
  <c r="H338" i="13"/>
  <c r="E178" i="13"/>
  <c r="K177" i="13"/>
  <c r="I218" i="13" s="1"/>
  <c r="I248" i="13" s="1"/>
  <c r="I89" i="13"/>
  <c r="I54" i="13"/>
  <c r="E66" i="13"/>
  <c r="I49" i="13"/>
  <c r="E61" i="13"/>
  <c r="I86" i="13"/>
  <c r="I97" i="13"/>
  <c r="I48" i="13"/>
  <c r="E60" i="13"/>
  <c r="I55" i="13"/>
  <c r="E67" i="13"/>
  <c r="I88" i="13"/>
  <c r="I51" i="13"/>
  <c r="E63" i="13"/>
  <c r="I47" i="13"/>
  <c r="E59" i="13"/>
  <c r="I50" i="13"/>
  <c r="E62" i="13"/>
  <c r="I52" i="13"/>
  <c r="I53" i="13"/>
  <c r="E65" i="13"/>
  <c r="J55" i="13"/>
  <c r="I209" i="13"/>
  <c r="J47" i="13"/>
  <c r="G6" i="13"/>
  <c r="J54" i="13"/>
  <c r="I207" i="13"/>
  <c r="J53" i="13"/>
  <c r="J88" i="13"/>
  <c r="G5" i="13"/>
  <c r="J89" i="13"/>
  <c r="J51" i="13"/>
  <c r="G11" i="13"/>
  <c r="G12" i="13"/>
  <c r="J52" i="13"/>
  <c r="J56" i="13"/>
  <c r="J247" i="13" s="1"/>
  <c r="G25" i="13"/>
  <c r="G26" i="13"/>
  <c r="J86" i="13"/>
  <c r="J97" i="13"/>
  <c r="G8" i="13"/>
  <c r="J49" i="13"/>
  <c r="J50" i="13"/>
  <c r="J48" i="13"/>
  <c r="B184" i="37"/>
  <c r="H183" i="37"/>
  <c r="C224" i="37" s="1"/>
  <c r="C254" i="37" s="1"/>
  <c r="D305" i="29"/>
  <c r="D279" i="29"/>
  <c r="F275" i="29"/>
  <c r="F276" i="29"/>
  <c r="F277" i="29"/>
  <c r="F301" i="29"/>
  <c r="I247" i="29"/>
  <c r="E68" i="29"/>
  <c r="K247" i="29"/>
  <c r="F68" i="29"/>
  <c r="F70" i="29"/>
  <c r="F303" i="29"/>
  <c r="K179" i="29"/>
  <c r="I220" i="29"/>
  <c r="I250" i="29" s="1"/>
  <c r="H303" i="29" s="1"/>
  <c r="E180" i="29"/>
  <c r="H182" i="29"/>
  <c r="C223" i="29" s="1"/>
  <c r="C253" i="29" s="1"/>
  <c r="B306" i="29" s="1"/>
  <c r="B183" i="29"/>
  <c r="L179" i="29"/>
  <c r="K220" i="29"/>
  <c r="K250" i="29" s="1"/>
  <c r="F180" i="29"/>
  <c r="E70" i="29"/>
  <c r="I182" i="29"/>
  <c r="E223" i="29"/>
  <c r="E253" i="29" s="1"/>
  <c r="D306" i="29" s="1"/>
  <c r="C183" i="29"/>
  <c r="D181" i="29"/>
  <c r="J180" i="29"/>
  <c r="G221" i="29"/>
  <c r="G251" i="29"/>
  <c r="F304" i="29" s="1"/>
  <c r="B305" i="29"/>
  <c r="B279" i="29"/>
  <c r="H182" i="25"/>
  <c r="C223" i="25"/>
  <c r="C253" i="25" s="1"/>
  <c r="B306" i="25" s="1"/>
  <c r="B183" i="25"/>
  <c r="D181" i="25"/>
  <c r="J180" i="25"/>
  <c r="G221" i="25"/>
  <c r="G251" i="25" s="1"/>
  <c r="F304" i="25" s="1"/>
  <c r="C182" i="25"/>
  <c r="I181" i="25"/>
  <c r="E222" i="25"/>
  <c r="E252" i="25"/>
  <c r="D278" i="25"/>
  <c r="F13" i="25"/>
  <c r="H210" i="25"/>
  <c r="H212" i="25"/>
  <c r="K89" i="25"/>
  <c r="K86" i="25"/>
  <c r="K97" i="25"/>
  <c r="K88" i="25"/>
  <c r="K49" i="25"/>
  <c r="F61" i="25"/>
  <c r="K50" i="25"/>
  <c r="F62" i="25"/>
  <c r="K55" i="25"/>
  <c r="F67" i="25"/>
  <c r="K47" i="25"/>
  <c r="F59" i="25"/>
  <c r="K48" i="25"/>
  <c r="F60" i="25"/>
  <c r="K53" i="25"/>
  <c r="F65" i="25"/>
  <c r="K54" i="25"/>
  <c r="F66" i="25"/>
  <c r="K51" i="25"/>
  <c r="F63" i="25"/>
  <c r="K52" i="25"/>
  <c r="G13" i="25"/>
  <c r="G10" i="25"/>
  <c r="B305" i="25"/>
  <c r="B279" i="25"/>
  <c r="I88" i="25"/>
  <c r="I89" i="25"/>
  <c r="I86" i="25"/>
  <c r="I97" i="25"/>
  <c r="I52" i="25"/>
  <c r="I53" i="25"/>
  <c r="E65" i="25"/>
  <c r="I50" i="25"/>
  <c r="E62" i="25"/>
  <c r="I51" i="25"/>
  <c r="E63" i="25"/>
  <c r="I48" i="25"/>
  <c r="E60" i="25"/>
  <c r="I49" i="25"/>
  <c r="E61" i="25"/>
  <c r="I54" i="25"/>
  <c r="E66" i="25"/>
  <c r="I55" i="25"/>
  <c r="E67" i="25"/>
  <c r="I47" i="25"/>
  <c r="E59" i="25"/>
  <c r="K177" i="25"/>
  <c r="I218" i="25"/>
  <c r="I248" i="25"/>
  <c r="E178" i="25"/>
  <c r="J330" i="25"/>
  <c r="F10" i="25"/>
  <c r="F275" i="25"/>
  <c r="F276" i="25"/>
  <c r="F277" i="25"/>
  <c r="J343" i="25"/>
  <c r="J348" i="25"/>
  <c r="F29" i="25"/>
  <c r="N164" i="25"/>
  <c r="H347" i="25"/>
  <c r="L177" i="25"/>
  <c r="K218" i="25"/>
  <c r="K248" i="25" s="1"/>
  <c r="F178" i="25"/>
  <c r="J337" i="25"/>
  <c r="J350" i="25"/>
  <c r="F276" i="21"/>
  <c r="F275" i="21"/>
  <c r="F277" i="21"/>
  <c r="F301" i="21"/>
  <c r="I182" i="21"/>
  <c r="E223" i="21"/>
  <c r="E253" i="21"/>
  <c r="C183" i="21"/>
  <c r="H99" i="21"/>
  <c r="H360" i="21"/>
  <c r="H386" i="21"/>
  <c r="F14" i="21"/>
  <c r="H205" i="21" s="1"/>
  <c r="H341" i="21"/>
  <c r="H211" i="21"/>
  <c r="H213" i="21"/>
  <c r="H335" i="21"/>
  <c r="H346" i="21"/>
  <c r="H332" i="21"/>
  <c r="F303" i="21"/>
  <c r="H336" i="21"/>
  <c r="H343" i="21"/>
  <c r="I56" i="21"/>
  <c r="E69" i="21"/>
  <c r="E64" i="21"/>
  <c r="G17" i="21"/>
  <c r="G18" i="21"/>
  <c r="H366" i="21"/>
  <c r="H392" i="21"/>
  <c r="E179" i="21"/>
  <c r="K178" i="21"/>
  <c r="I219" i="21" s="1"/>
  <c r="I249" i="21" s="1"/>
  <c r="H302" i="21" s="1"/>
  <c r="F177" i="21"/>
  <c r="G27" i="21"/>
  <c r="G9" i="21"/>
  <c r="G7" i="21"/>
  <c r="B307" i="21"/>
  <c r="B281" i="21"/>
  <c r="H338" i="21"/>
  <c r="H351" i="21"/>
  <c r="H328" i="21"/>
  <c r="H337" i="21"/>
  <c r="J180" i="21"/>
  <c r="G221" i="21" s="1"/>
  <c r="G251" i="21" s="1"/>
  <c r="F304" i="21" s="1"/>
  <c r="D181" i="21"/>
  <c r="F302" i="21"/>
  <c r="H204" i="21"/>
  <c r="H376" i="21"/>
  <c r="H402" i="21"/>
  <c r="G28" i="21"/>
  <c r="B185" i="21"/>
  <c r="H184" i="21"/>
  <c r="C225" i="21" s="1"/>
  <c r="C255" i="21" s="1"/>
  <c r="B308" i="21" s="1"/>
  <c r="H330" i="21"/>
  <c r="H345" i="21"/>
  <c r="H331" i="21"/>
  <c r="H339" i="21"/>
  <c r="D305" i="21"/>
  <c r="D279" i="21"/>
  <c r="C183" i="17"/>
  <c r="I182" i="17"/>
  <c r="E223" i="17"/>
  <c r="E253" i="17" s="1"/>
  <c r="D306" i="17" s="1"/>
  <c r="H381" i="17"/>
  <c r="H355" i="17"/>
  <c r="H392" i="17"/>
  <c r="H366" i="17"/>
  <c r="H394" i="17"/>
  <c r="H368" i="17"/>
  <c r="H385" i="17"/>
  <c r="H359" i="17"/>
  <c r="H398" i="17"/>
  <c r="H372" i="17"/>
  <c r="H363" i="17"/>
  <c r="H389" i="17"/>
  <c r="H399" i="17"/>
  <c r="H373" i="17"/>
  <c r="D181" i="17"/>
  <c r="J180" i="17"/>
  <c r="G221" i="17"/>
  <c r="G251" i="17" s="1"/>
  <c r="F304" i="17" s="1"/>
  <c r="H384" i="17"/>
  <c r="H358" i="17"/>
  <c r="H395" i="17"/>
  <c r="H369" i="17"/>
  <c r="B305" i="17"/>
  <c r="B279" i="17"/>
  <c r="F177" i="17"/>
  <c r="G7" i="17"/>
  <c r="G27" i="17"/>
  <c r="G9" i="17"/>
  <c r="G28" i="17"/>
  <c r="D305" i="17"/>
  <c r="D279" i="17"/>
  <c r="H182" i="17"/>
  <c r="C223" i="17" s="1"/>
  <c r="C253" i="17" s="1"/>
  <c r="B306" i="17" s="1"/>
  <c r="B183" i="17"/>
  <c r="F276" i="17"/>
  <c r="F277" i="17"/>
  <c r="F275" i="17"/>
  <c r="F301" i="17"/>
  <c r="I247" i="17"/>
  <c r="E68" i="17"/>
  <c r="H403" i="17"/>
  <c r="H377" i="17"/>
  <c r="H365" i="17"/>
  <c r="H391" i="17"/>
  <c r="H367" i="17"/>
  <c r="H393" i="17"/>
  <c r="H396" i="17"/>
  <c r="H370" i="17"/>
  <c r="H400" i="17"/>
  <c r="H374" i="17"/>
  <c r="H402" i="17"/>
  <c r="H376" i="17"/>
  <c r="H382" i="17"/>
  <c r="H356" i="17"/>
  <c r="K179" i="17"/>
  <c r="I220" i="17" s="1"/>
  <c r="I250" i="17" s="1"/>
  <c r="H303" i="17" s="1"/>
  <c r="E180" i="17"/>
  <c r="H383" i="17"/>
  <c r="H357" i="17"/>
  <c r="B304" i="17"/>
  <c r="H380" i="17"/>
  <c r="H354" i="17"/>
  <c r="E70" i="17"/>
  <c r="H364" i="17"/>
  <c r="H390" i="17"/>
  <c r="H386" i="17"/>
  <c r="H360" i="17"/>
  <c r="B183" i="13"/>
  <c r="H182" i="13"/>
  <c r="C223" i="13"/>
  <c r="C253" i="13" s="1"/>
  <c r="B306" i="13" s="1"/>
  <c r="F364" i="13"/>
  <c r="F390" i="13"/>
  <c r="F397" i="13"/>
  <c r="F371" i="13"/>
  <c r="G247" i="13"/>
  <c r="F302" i="13" s="1"/>
  <c r="D68" i="13"/>
  <c r="B305" i="13"/>
  <c r="B279" i="13"/>
  <c r="F385" i="13"/>
  <c r="F359" i="13"/>
  <c r="F363" i="13"/>
  <c r="F389" i="13"/>
  <c r="F388" i="13"/>
  <c r="F362" i="13"/>
  <c r="F384" i="13"/>
  <c r="F358" i="13"/>
  <c r="F402" i="13"/>
  <c r="F376" i="13"/>
  <c r="F381" i="13"/>
  <c r="F355" i="13"/>
  <c r="F369" i="13"/>
  <c r="F395" i="13"/>
  <c r="F387" i="13"/>
  <c r="F361" i="13"/>
  <c r="F380" i="13"/>
  <c r="F354" i="13"/>
  <c r="F386" i="13"/>
  <c r="F360" i="13"/>
  <c r="F382" i="13"/>
  <c r="F356" i="13"/>
  <c r="F392" i="13"/>
  <c r="F366" i="13"/>
  <c r="B304" i="13"/>
  <c r="D180" i="13"/>
  <c r="J179" i="13"/>
  <c r="G220" i="13"/>
  <c r="G250" i="13" s="1"/>
  <c r="F303" i="13" s="1"/>
  <c r="D276" i="13"/>
  <c r="D277" i="13"/>
  <c r="D275" i="13"/>
  <c r="D301" i="13"/>
  <c r="F377" i="13"/>
  <c r="F403" i="13"/>
  <c r="F396" i="13"/>
  <c r="F370" i="13"/>
  <c r="F401" i="13"/>
  <c r="F375" i="13"/>
  <c r="F398" i="13"/>
  <c r="F372" i="13"/>
  <c r="F400" i="13"/>
  <c r="F374" i="13"/>
  <c r="I180" i="13"/>
  <c r="E221" i="13" s="1"/>
  <c r="E251" i="13" s="1"/>
  <c r="D304" i="13" s="1"/>
  <c r="C181" i="13"/>
  <c r="D302" i="13"/>
  <c r="J97" i="9"/>
  <c r="J179" i="9"/>
  <c r="G220" i="9" s="1"/>
  <c r="G250" i="9" s="1"/>
  <c r="B183" i="9"/>
  <c r="H182" i="9"/>
  <c r="C223" i="9" s="1"/>
  <c r="C253" i="9" s="1"/>
  <c r="B306" i="9" s="1"/>
  <c r="C158" i="9"/>
  <c r="C159" i="9"/>
  <c r="I97" i="9"/>
  <c r="I181" i="9"/>
  <c r="K177" i="9"/>
  <c r="I218" i="9" s="1"/>
  <c r="I248" i="9" s="1"/>
  <c r="B305" i="9"/>
  <c r="L40" i="6"/>
  <c r="H183" i="5"/>
  <c r="C224" i="5" s="1"/>
  <c r="C254" i="5" s="1"/>
  <c r="B307" i="5" s="1"/>
  <c r="I181" i="5"/>
  <c r="E222" i="5" s="1"/>
  <c r="E252" i="5" s="1"/>
  <c r="K179" i="5"/>
  <c r="B306" i="5"/>
  <c r="J99" i="5"/>
  <c r="L178" i="5"/>
  <c r="J180" i="5"/>
  <c r="G221" i="5" s="1"/>
  <c r="G251" i="5" s="1"/>
  <c r="J336" i="25"/>
  <c r="N166" i="25"/>
  <c r="J341" i="25"/>
  <c r="J339" i="25"/>
  <c r="J334" i="25"/>
  <c r="J332" i="25"/>
  <c r="H329" i="13"/>
  <c r="N170" i="25"/>
  <c r="N162" i="25"/>
  <c r="O166" i="17"/>
  <c r="H340" i="25"/>
  <c r="F30" i="13"/>
  <c r="N166" i="13"/>
  <c r="N173" i="25"/>
  <c r="N169" i="25"/>
  <c r="N171" i="25"/>
  <c r="N165" i="25"/>
  <c r="O165" i="17"/>
  <c r="N165" i="13"/>
  <c r="N172" i="25"/>
  <c r="O170" i="21"/>
  <c r="H346" i="13"/>
  <c r="N169" i="13"/>
  <c r="N172" i="13"/>
  <c r="N173" i="13"/>
  <c r="F30" i="25"/>
  <c r="N168" i="25"/>
  <c r="N167" i="25"/>
  <c r="J346" i="25"/>
  <c r="H334" i="13"/>
  <c r="N163" i="25"/>
  <c r="N164" i="13"/>
  <c r="N170" i="13"/>
  <c r="N171" i="13"/>
  <c r="F278" i="17"/>
  <c r="F278" i="25"/>
  <c r="E70" i="21"/>
  <c r="H374" i="21"/>
  <c r="H401" i="21"/>
  <c r="H400" i="21"/>
  <c r="H368" i="21"/>
  <c r="H355" i="21"/>
  <c r="H370" i="21"/>
  <c r="J342" i="25"/>
  <c r="J394" i="25" s="1"/>
  <c r="J329" i="25"/>
  <c r="J381" i="25"/>
  <c r="H348" i="25"/>
  <c r="H400" i="25" s="1"/>
  <c r="H339" i="25"/>
  <c r="H365" i="25" s="1"/>
  <c r="J340" i="25"/>
  <c r="J392" i="25" s="1"/>
  <c r="J335" i="25"/>
  <c r="J361" i="25"/>
  <c r="J349" i="25"/>
  <c r="J401" i="25" s="1"/>
  <c r="J344" i="25"/>
  <c r="J396" i="25" s="1"/>
  <c r="J331" i="25"/>
  <c r="J383" i="25" s="1"/>
  <c r="H385" i="21"/>
  <c r="H399" i="21"/>
  <c r="J345" i="25"/>
  <c r="J397" i="25" s="1"/>
  <c r="H332" i="25"/>
  <c r="H384" i="25" s="1"/>
  <c r="J351" i="25"/>
  <c r="J403" i="25" s="1"/>
  <c r="J338" i="25"/>
  <c r="J333" i="25"/>
  <c r="J359" i="25" s="1"/>
  <c r="J347" i="25"/>
  <c r="G7" i="13"/>
  <c r="G9" i="13"/>
  <c r="F177" i="13"/>
  <c r="G27" i="13"/>
  <c r="H99" i="13"/>
  <c r="H390" i="13"/>
  <c r="H364" i="13"/>
  <c r="H355" i="13"/>
  <c r="H381" i="13"/>
  <c r="H398" i="13"/>
  <c r="H372" i="13"/>
  <c r="H399" i="13"/>
  <c r="H373" i="13"/>
  <c r="I56" i="13"/>
  <c r="E70" i="13"/>
  <c r="E64" i="13"/>
  <c r="H360" i="13"/>
  <c r="H386" i="13"/>
  <c r="F14" i="13"/>
  <c r="H205" i="13" s="1"/>
  <c r="H337" i="13"/>
  <c r="H213" i="13"/>
  <c r="H211" i="13"/>
  <c r="H342" i="13"/>
  <c r="H336" i="13"/>
  <c r="H351" i="13"/>
  <c r="H335" i="13"/>
  <c r="H343" i="13"/>
  <c r="H344" i="13"/>
  <c r="H350" i="13"/>
  <c r="G17" i="13"/>
  <c r="G18" i="13"/>
  <c r="H332" i="13"/>
  <c r="H341" i="13"/>
  <c r="H345" i="13"/>
  <c r="H333" i="13"/>
  <c r="H340" i="13"/>
  <c r="H349" i="13"/>
  <c r="H330" i="13"/>
  <c r="H204" i="13"/>
  <c r="G28" i="13"/>
  <c r="H348" i="13"/>
  <c r="E179" i="13"/>
  <c r="K178" i="13"/>
  <c r="I219" i="13"/>
  <c r="I249" i="13" s="1"/>
  <c r="H302" i="13" s="1"/>
  <c r="H339" i="13"/>
  <c r="H331" i="13"/>
  <c r="H328" i="13"/>
  <c r="B185" i="37"/>
  <c r="H184" i="37"/>
  <c r="C225" i="37" s="1"/>
  <c r="C255" i="37" s="1"/>
  <c r="B308" i="37" s="1"/>
  <c r="B307" i="37"/>
  <c r="L180" i="29"/>
  <c r="K221" i="29"/>
  <c r="K251" i="29" s="1"/>
  <c r="J278" i="29"/>
  <c r="J304" i="29" s="1"/>
  <c r="F181" i="29"/>
  <c r="H183" i="29"/>
  <c r="C224" i="29"/>
  <c r="C254" i="29" s="1"/>
  <c r="B184" i="29"/>
  <c r="H277" i="29"/>
  <c r="H275" i="29"/>
  <c r="H276" i="29"/>
  <c r="I183" i="29"/>
  <c r="E224" i="29" s="1"/>
  <c r="E254" i="29" s="1"/>
  <c r="C184" i="29"/>
  <c r="H301" i="29"/>
  <c r="B280" i="29"/>
  <c r="E181" i="29"/>
  <c r="K180" i="29"/>
  <c r="I221" i="29" s="1"/>
  <c r="I251" i="29" s="1"/>
  <c r="H304" i="29" s="1"/>
  <c r="J275" i="29"/>
  <c r="J301" i="29" s="1"/>
  <c r="J277" i="29"/>
  <c r="J303" i="29" s="1"/>
  <c r="J276" i="29"/>
  <c r="J302" i="29" s="1"/>
  <c r="F278" i="29"/>
  <c r="H302" i="29"/>
  <c r="D182" i="29"/>
  <c r="J181" i="29"/>
  <c r="G222" i="29"/>
  <c r="G252" i="29" s="1"/>
  <c r="F305" i="29" s="1"/>
  <c r="D280" i="29"/>
  <c r="H399" i="25"/>
  <c r="H373" i="25"/>
  <c r="J382" i="25"/>
  <c r="J356" i="25"/>
  <c r="H344" i="25"/>
  <c r="H335" i="25"/>
  <c r="J388" i="25"/>
  <c r="J362" i="25"/>
  <c r="I204" i="25"/>
  <c r="J99" i="25"/>
  <c r="H349" i="25"/>
  <c r="H204" i="25"/>
  <c r="C183" i="25"/>
  <c r="I182" i="25"/>
  <c r="E223" i="25" s="1"/>
  <c r="E253" i="25" s="1"/>
  <c r="H183" i="25"/>
  <c r="C224" i="25"/>
  <c r="C254" i="25" s="1"/>
  <c r="B307" i="25" s="1"/>
  <c r="B184" i="25"/>
  <c r="J386" i="25"/>
  <c r="J360" i="25"/>
  <c r="L178" i="25"/>
  <c r="K219" i="25"/>
  <c r="K249" i="25"/>
  <c r="F179" i="25"/>
  <c r="H336" i="25"/>
  <c r="H328" i="25"/>
  <c r="J328" i="25"/>
  <c r="H350" i="25"/>
  <c r="H341" i="25"/>
  <c r="B280" i="25"/>
  <c r="H392" i="25"/>
  <c r="H366" i="25"/>
  <c r="J374" i="25"/>
  <c r="J400" i="25"/>
  <c r="J395" i="25"/>
  <c r="J369" i="25"/>
  <c r="J398" i="25"/>
  <c r="J372" i="25"/>
  <c r="J393" i="25"/>
  <c r="J367" i="25"/>
  <c r="H351" i="25"/>
  <c r="I56" i="25"/>
  <c r="E70" i="25"/>
  <c r="E64" i="25"/>
  <c r="K56" i="25"/>
  <c r="F64" i="25"/>
  <c r="H342" i="25"/>
  <c r="H333" i="25"/>
  <c r="J402" i="25"/>
  <c r="J376" i="25"/>
  <c r="J389" i="25"/>
  <c r="J363" i="25"/>
  <c r="F14" i="25"/>
  <c r="H205" i="25"/>
  <c r="H331" i="25"/>
  <c r="H211" i="25"/>
  <c r="H346" i="25"/>
  <c r="H338" i="25"/>
  <c r="H330" i="25"/>
  <c r="H345" i="25"/>
  <c r="H337" i="25"/>
  <c r="H329" i="25"/>
  <c r="H213" i="25"/>
  <c r="H343" i="25"/>
  <c r="K178" i="25"/>
  <c r="E179" i="25"/>
  <c r="H99" i="25"/>
  <c r="J391" i="25"/>
  <c r="J365" i="25"/>
  <c r="G14" i="25"/>
  <c r="I205" i="25"/>
  <c r="I211" i="25"/>
  <c r="I213" i="25"/>
  <c r="H334" i="25"/>
  <c r="D305" i="25"/>
  <c r="D279" i="25"/>
  <c r="D182" i="25"/>
  <c r="J181" i="25"/>
  <c r="G222" i="25"/>
  <c r="G252" i="25" s="1"/>
  <c r="H383" i="21"/>
  <c r="H357" i="21"/>
  <c r="B186" i="21"/>
  <c r="H185" i="21"/>
  <c r="C226" i="21"/>
  <c r="C256" i="21" s="1"/>
  <c r="F178" i="21"/>
  <c r="L177" i="21"/>
  <c r="K218" i="21"/>
  <c r="K248" i="21" s="1"/>
  <c r="H397" i="21"/>
  <c r="H371" i="21"/>
  <c r="H389" i="21"/>
  <c r="H363" i="21"/>
  <c r="H364" i="21"/>
  <c r="H390" i="21"/>
  <c r="K88" i="21"/>
  <c r="K89" i="21"/>
  <c r="K86" i="21"/>
  <c r="K97" i="21"/>
  <c r="K47" i="21"/>
  <c r="F59" i="21"/>
  <c r="K50" i="21"/>
  <c r="F62" i="21"/>
  <c r="K49" i="21"/>
  <c r="F61" i="21"/>
  <c r="K48" i="21"/>
  <c r="F60" i="21"/>
  <c r="K51" i="21"/>
  <c r="F63" i="21"/>
  <c r="K54" i="21"/>
  <c r="F66" i="21"/>
  <c r="K53" i="21"/>
  <c r="F65" i="21"/>
  <c r="K52" i="21"/>
  <c r="K55" i="21"/>
  <c r="F67" i="21"/>
  <c r="I247" i="21"/>
  <c r="E68" i="21"/>
  <c r="H362" i="21"/>
  <c r="H388" i="21"/>
  <c r="H393" i="21"/>
  <c r="H367" i="21"/>
  <c r="C184" i="21"/>
  <c r="I183" i="21"/>
  <c r="E224" i="21" s="1"/>
  <c r="E254" i="21" s="1"/>
  <c r="D307" i="21" s="1"/>
  <c r="H398" i="21"/>
  <c r="H372" i="21"/>
  <c r="H382" i="21"/>
  <c r="H356" i="21"/>
  <c r="H380" i="21"/>
  <c r="H354" i="21"/>
  <c r="G13" i="21"/>
  <c r="I210" i="21"/>
  <c r="I212" i="21"/>
  <c r="G10" i="21"/>
  <c r="J333" i="21"/>
  <c r="J338" i="21"/>
  <c r="J339" i="21"/>
  <c r="E180" i="21"/>
  <c r="K179" i="21"/>
  <c r="I220" i="21" s="1"/>
  <c r="I250" i="21" s="1"/>
  <c r="H361" i="21"/>
  <c r="H387" i="21"/>
  <c r="D306" i="21"/>
  <c r="D280" i="21"/>
  <c r="H365" i="21"/>
  <c r="H391" i="21"/>
  <c r="B282" i="21"/>
  <c r="J181" i="21"/>
  <c r="G222" i="21"/>
  <c r="G252" i="21" s="1"/>
  <c r="F305" i="21" s="1"/>
  <c r="D182" i="21"/>
  <c r="H377" i="21"/>
  <c r="H403" i="21"/>
  <c r="G29" i="21"/>
  <c r="O166" i="21"/>
  <c r="H395" i="21"/>
  <c r="H369" i="21"/>
  <c r="H384" i="21"/>
  <c r="H358" i="21"/>
  <c r="F278" i="21"/>
  <c r="K180" i="17"/>
  <c r="I221" i="17" s="1"/>
  <c r="I251" i="17" s="1"/>
  <c r="H304" i="17" s="1"/>
  <c r="E181" i="17"/>
  <c r="H276" i="17"/>
  <c r="H277" i="17"/>
  <c r="H275" i="17"/>
  <c r="D182" i="17"/>
  <c r="J181" i="17"/>
  <c r="G222" i="17"/>
  <c r="G252" i="17" s="1"/>
  <c r="H183" i="17"/>
  <c r="C224" i="17"/>
  <c r="C254" i="17" s="1"/>
  <c r="B184" i="17"/>
  <c r="K88" i="17"/>
  <c r="K86" i="17"/>
  <c r="K97" i="17"/>
  <c r="K89" i="17"/>
  <c r="K50" i="17"/>
  <c r="F62" i="17"/>
  <c r="K55" i="17"/>
  <c r="F67" i="17"/>
  <c r="K49" i="17"/>
  <c r="F61" i="17"/>
  <c r="K54" i="17"/>
  <c r="F66" i="17"/>
  <c r="K47" i="17"/>
  <c r="F59" i="17"/>
  <c r="K48" i="17"/>
  <c r="F60" i="17"/>
  <c r="K53" i="17"/>
  <c r="F65" i="17"/>
  <c r="K51" i="17"/>
  <c r="F63" i="17"/>
  <c r="K52" i="17"/>
  <c r="B280" i="17"/>
  <c r="G13" i="17"/>
  <c r="I210" i="17"/>
  <c r="I212" i="17"/>
  <c r="H302" i="17"/>
  <c r="D280" i="17"/>
  <c r="G10" i="17"/>
  <c r="G29" i="17"/>
  <c r="G30" i="17"/>
  <c r="L177" i="17"/>
  <c r="K218" i="17"/>
  <c r="K248" i="17"/>
  <c r="F178" i="17"/>
  <c r="J330" i="17"/>
  <c r="H301" i="17"/>
  <c r="C184" i="17"/>
  <c r="I183" i="17"/>
  <c r="E224" i="17" s="1"/>
  <c r="E254" i="17" s="1"/>
  <c r="J180" i="13"/>
  <c r="G221" i="13"/>
  <c r="G251" i="13" s="1"/>
  <c r="F304" i="13" s="1"/>
  <c r="D181" i="13"/>
  <c r="B280" i="13"/>
  <c r="H183" i="13"/>
  <c r="C224" i="13"/>
  <c r="C254" i="13"/>
  <c r="B184" i="13"/>
  <c r="I181" i="13"/>
  <c r="E222" i="13" s="1"/>
  <c r="E252" i="13" s="1"/>
  <c r="C182" i="13"/>
  <c r="D278" i="13"/>
  <c r="F275" i="13"/>
  <c r="F277" i="13"/>
  <c r="F276" i="13"/>
  <c r="F301" i="13"/>
  <c r="J180" i="9"/>
  <c r="G221" i="9" s="1"/>
  <c r="G251" i="9" s="1"/>
  <c r="K178" i="9"/>
  <c r="I219" i="9"/>
  <c r="I249" i="9" s="1"/>
  <c r="I182" i="9"/>
  <c r="E223" i="9" s="1"/>
  <c r="E253" i="9" s="1"/>
  <c r="H99" i="9"/>
  <c r="B184" i="9"/>
  <c r="H183" i="9"/>
  <c r="C224" i="9" s="1"/>
  <c r="C254" i="9" s="1"/>
  <c r="K180" i="5"/>
  <c r="I221" i="5" s="1"/>
  <c r="I251" i="5" s="1"/>
  <c r="I182" i="5"/>
  <c r="E223" i="5" s="1"/>
  <c r="E253" i="5" s="1"/>
  <c r="J181" i="5"/>
  <c r="G222" i="5" s="1"/>
  <c r="G252" i="5" s="1"/>
  <c r="L179" i="5"/>
  <c r="K220" i="5" s="1"/>
  <c r="K250" i="5" s="1"/>
  <c r="H184" i="5"/>
  <c r="C225" i="5" s="1"/>
  <c r="C255" i="5" s="1"/>
  <c r="O163" i="17"/>
  <c r="J329" i="17"/>
  <c r="J340" i="21"/>
  <c r="J392" i="21"/>
  <c r="O165" i="21"/>
  <c r="O168" i="17"/>
  <c r="O173" i="17"/>
  <c r="O167" i="17"/>
  <c r="J331" i="17"/>
  <c r="O162" i="17"/>
  <c r="O171" i="17"/>
  <c r="O164" i="17"/>
  <c r="J384" i="25"/>
  <c r="O163" i="21"/>
  <c r="O169" i="17"/>
  <c r="O172" i="21"/>
  <c r="J349" i="17"/>
  <c r="J341" i="21"/>
  <c r="J358" i="25"/>
  <c r="O171" i="21"/>
  <c r="O170" i="17"/>
  <c r="J344" i="17"/>
  <c r="G30" i="21"/>
  <c r="O167" i="21"/>
  <c r="O168" i="21"/>
  <c r="O164" i="21"/>
  <c r="O173" i="21"/>
  <c r="O162" i="21"/>
  <c r="O169" i="21"/>
  <c r="O172" i="17"/>
  <c r="J375" i="25"/>
  <c r="J385" i="25"/>
  <c r="H358" i="25"/>
  <c r="H374" i="25"/>
  <c r="J370" i="25"/>
  <c r="H391" i="25"/>
  <c r="J399" i="25"/>
  <c r="J377" i="25"/>
  <c r="J355" i="25"/>
  <c r="J390" i="25"/>
  <c r="J387" i="25"/>
  <c r="J371" i="25"/>
  <c r="J366" i="25"/>
  <c r="J368" i="25"/>
  <c r="J357" i="25"/>
  <c r="J364" i="25"/>
  <c r="J373" i="25"/>
  <c r="J343" i="21"/>
  <c r="J395" i="21" s="1"/>
  <c r="J337" i="21"/>
  <c r="J363" i="21" s="1"/>
  <c r="J329" i="21"/>
  <c r="J348" i="17"/>
  <c r="J351" i="17"/>
  <c r="J341" i="17"/>
  <c r="J393" i="17"/>
  <c r="J347" i="17"/>
  <c r="J334" i="17"/>
  <c r="J360" i="17" s="1"/>
  <c r="J332" i="17"/>
  <c r="J384" i="17" s="1"/>
  <c r="J340" i="17"/>
  <c r="J333" i="17"/>
  <c r="J339" i="17"/>
  <c r="J342" i="17"/>
  <c r="J394" i="17"/>
  <c r="H354" i="13"/>
  <c r="H380" i="13"/>
  <c r="H400" i="13"/>
  <c r="H374" i="13"/>
  <c r="H366" i="13"/>
  <c r="H392" i="13"/>
  <c r="H367" i="13"/>
  <c r="H393" i="13"/>
  <c r="H376" i="13"/>
  <c r="H402" i="13"/>
  <c r="H391" i="13"/>
  <c r="H365" i="13"/>
  <c r="H382" i="13"/>
  <c r="H356" i="13"/>
  <c r="H358" i="13"/>
  <c r="H384" i="13"/>
  <c r="H369" i="13"/>
  <c r="H395" i="13"/>
  <c r="F178" i="13"/>
  <c r="L177" i="13"/>
  <c r="K218" i="13" s="1"/>
  <c r="K248" i="13" s="1"/>
  <c r="I210" i="13"/>
  <c r="G13" i="13"/>
  <c r="I212" i="13"/>
  <c r="H401" i="13"/>
  <c r="H375" i="13"/>
  <c r="H385" i="13"/>
  <c r="H359" i="13"/>
  <c r="H370" i="13"/>
  <c r="H396" i="13"/>
  <c r="H387" i="13"/>
  <c r="H361" i="13"/>
  <c r="H403" i="13"/>
  <c r="H377" i="13"/>
  <c r="E69" i="13"/>
  <c r="I247" i="13"/>
  <c r="E68" i="13"/>
  <c r="K88" i="13"/>
  <c r="K49" i="13"/>
  <c r="F61" i="13"/>
  <c r="K48" i="13"/>
  <c r="F60" i="13"/>
  <c r="K89" i="13"/>
  <c r="K53" i="13"/>
  <c r="F65" i="13"/>
  <c r="K51" i="13"/>
  <c r="F63" i="13"/>
  <c r="K86" i="13"/>
  <c r="K97" i="13"/>
  <c r="K50" i="13"/>
  <c r="F62" i="13"/>
  <c r="K54" i="13"/>
  <c r="F66" i="13"/>
  <c r="K52" i="13"/>
  <c r="K55" i="13"/>
  <c r="F67" i="13"/>
  <c r="K47" i="13"/>
  <c r="F59" i="13"/>
  <c r="J350" i="13"/>
  <c r="J376" i="13"/>
  <c r="H383" i="13"/>
  <c r="H357" i="13"/>
  <c r="K179" i="13"/>
  <c r="I220" i="13" s="1"/>
  <c r="I250" i="13" s="1"/>
  <c r="E180" i="13"/>
  <c r="H371" i="13"/>
  <c r="H397" i="13"/>
  <c r="H388" i="13"/>
  <c r="H362" i="13"/>
  <c r="H368" i="13"/>
  <c r="H394" i="13"/>
  <c r="H389" i="13"/>
  <c r="H363" i="13"/>
  <c r="G10" i="13"/>
  <c r="G29" i="13"/>
  <c r="O172" i="13"/>
  <c r="B186" i="37"/>
  <c r="H185" i="37"/>
  <c r="C226" i="37"/>
  <c r="C256" i="37" s="1"/>
  <c r="I184" i="29"/>
  <c r="E225" i="29"/>
  <c r="E255" i="29"/>
  <c r="C185" i="29"/>
  <c r="L181" i="29"/>
  <c r="K222" i="29" s="1"/>
  <c r="K252" i="29" s="1"/>
  <c r="J279" i="29"/>
  <c r="J305" i="29" s="1"/>
  <c r="F182" i="29"/>
  <c r="F279" i="29"/>
  <c r="E182" i="29"/>
  <c r="E183" i="29" s="1"/>
  <c r="E184" i="29" s="1"/>
  <c r="E185" i="29" s="1"/>
  <c r="E186" i="29" s="1"/>
  <c r="E187" i="29" s="1"/>
  <c r="K181" i="29"/>
  <c r="I222" i="29" s="1"/>
  <c r="I252" i="29" s="1"/>
  <c r="H305" i="29" s="1"/>
  <c r="H278" i="29"/>
  <c r="H184" i="29"/>
  <c r="C225" i="29"/>
  <c r="C255" i="29"/>
  <c r="B185" i="29"/>
  <c r="D307" i="29"/>
  <c r="D281" i="29"/>
  <c r="D183" i="29"/>
  <c r="J182" i="29"/>
  <c r="G223" i="29"/>
  <c r="G253" i="29"/>
  <c r="B307" i="29"/>
  <c r="B281" i="29"/>
  <c r="H395" i="25"/>
  <c r="H369" i="25"/>
  <c r="H355" i="25"/>
  <c r="H381" i="25"/>
  <c r="H390" i="25"/>
  <c r="H364" i="25"/>
  <c r="K247" i="25"/>
  <c r="F68" i="25"/>
  <c r="F70" i="25"/>
  <c r="I247" i="25"/>
  <c r="H301" i="25"/>
  <c r="E68" i="25"/>
  <c r="B281" i="25"/>
  <c r="E69" i="25"/>
  <c r="F69" i="25"/>
  <c r="F305" i="25"/>
  <c r="F279" i="25"/>
  <c r="H363" i="25"/>
  <c r="H389" i="25"/>
  <c r="H398" i="25"/>
  <c r="H372" i="25"/>
  <c r="H385" i="25"/>
  <c r="H359" i="25"/>
  <c r="H380" i="25"/>
  <c r="H354" i="25"/>
  <c r="D306" i="25"/>
  <c r="D280" i="25"/>
  <c r="H401" i="25"/>
  <c r="H375" i="25"/>
  <c r="D183" i="25"/>
  <c r="J182" i="25"/>
  <c r="G223" i="25"/>
  <c r="G253" i="25"/>
  <c r="F306" i="25" s="1"/>
  <c r="K179" i="25"/>
  <c r="I220" i="25" s="1"/>
  <c r="I250" i="25" s="1"/>
  <c r="H303" i="25" s="1"/>
  <c r="E180" i="25"/>
  <c r="H371" i="25"/>
  <c r="H397" i="25"/>
  <c r="H394" i="25"/>
  <c r="H368" i="25"/>
  <c r="H403" i="25"/>
  <c r="H377" i="25"/>
  <c r="H393" i="25"/>
  <c r="H367" i="25"/>
  <c r="H388" i="25"/>
  <c r="H362" i="25"/>
  <c r="L179" i="25"/>
  <c r="K220" i="25"/>
  <c r="K250" i="25" s="1"/>
  <c r="F180" i="25"/>
  <c r="C184" i="25"/>
  <c r="I183" i="25"/>
  <c r="E224" i="25" s="1"/>
  <c r="E254" i="25" s="1"/>
  <c r="D307" i="25" s="1"/>
  <c r="H387" i="25"/>
  <c r="H361" i="25"/>
  <c r="H386" i="25"/>
  <c r="H360" i="25"/>
  <c r="H382" i="25"/>
  <c r="H356" i="25"/>
  <c r="H383" i="25"/>
  <c r="H357" i="25"/>
  <c r="H402" i="25"/>
  <c r="H376" i="25"/>
  <c r="J380" i="25"/>
  <c r="J354" i="25"/>
  <c r="H184" i="25"/>
  <c r="C225" i="25" s="1"/>
  <c r="C255" i="25" s="1"/>
  <c r="B185" i="25"/>
  <c r="H396" i="25"/>
  <c r="H370" i="25"/>
  <c r="J367" i="21"/>
  <c r="J393" i="21"/>
  <c r="H303" i="21"/>
  <c r="J364" i="21"/>
  <c r="J390" i="21"/>
  <c r="J182" i="21"/>
  <c r="G223" i="21"/>
  <c r="G253" i="21"/>
  <c r="F306" i="21" s="1"/>
  <c r="D183" i="21"/>
  <c r="D184" i="21" s="1"/>
  <c r="D185" i="21" s="1"/>
  <c r="D186" i="21" s="1"/>
  <c r="D187" i="21" s="1"/>
  <c r="D188" i="21" s="1"/>
  <c r="D189" i="21" s="1"/>
  <c r="D190" i="21" s="1"/>
  <c r="D191" i="21" s="1"/>
  <c r="K180" i="21"/>
  <c r="I221" i="21"/>
  <c r="I251" i="21" s="1"/>
  <c r="H304" i="21" s="1"/>
  <c r="E181" i="21"/>
  <c r="D281" i="21"/>
  <c r="K56" i="21"/>
  <c r="F69" i="21"/>
  <c r="F64" i="21"/>
  <c r="J99" i="21"/>
  <c r="F279" i="21"/>
  <c r="J365" i="21"/>
  <c r="J391" i="21"/>
  <c r="I204" i="21"/>
  <c r="I184" i="21"/>
  <c r="E225" i="21"/>
  <c r="E255" i="21" s="1"/>
  <c r="D308" i="21" s="1"/>
  <c r="C185" i="21"/>
  <c r="H275" i="21"/>
  <c r="H276" i="21"/>
  <c r="H277" i="21"/>
  <c r="H301" i="21"/>
  <c r="F179" i="21"/>
  <c r="L178" i="21"/>
  <c r="K219" i="21" s="1"/>
  <c r="K249" i="21" s="1"/>
  <c r="B309" i="21"/>
  <c r="B283" i="21"/>
  <c r="J385" i="21"/>
  <c r="J359" i="21"/>
  <c r="G14" i="21"/>
  <c r="I205" i="21"/>
  <c r="J342" i="21"/>
  <c r="J344" i="21"/>
  <c r="J334" i="21"/>
  <c r="J330" i="21"/>
  <c r="I213" i="21"/>
  <c r="I211" i="21"/>
  <c r="J347" i="21"/>
  <c r="J346" i="21"/>
  <c r="J348" i="21"/>
  <c r="J331" i="21"/>
  <c r="J351" i="21"/>
  <c r="J349" i="21"/>
  <c r="J350" i="21"/>
  <c r="J336" i="21"/>
  <c r="J388" i="21" s="1"/>
  <c r="J332" i="21"/>
  <c r="J328" i="21"/>
  <c r="J345" i="21"/>
  <c r="J335" i="21"/>
  <c r="B187" i="21"/>
  <c r="H186" i="21"/>
  <c r="C227" i="21"/>
  <c r="C257" i="21" s="1"/>
  <c r="B310" i="21" s="1"/>
  <c r="D307" i="17"/>
  <c r="D281" i="17"/>
  <c r="F305" i="17"/>
  <c r="F279" i="17"/>
  <c r="C185" i="17"/>
  <c r="I184" i="17"/>
  <c r="E225" i="17"/>
  <c r="E255" i="17" s="1"/>
  <c r="D308" i="17" s="1"/>
  <c r="J401" i="17"/>
  <c r="J375" i="17"/>
  <c r="J382" i="17"/>
  <c r="J356" i="17"/>
  <c r="L178" i="17"/>
  <c r="K219" i="17"/>
  <c r="K249" i="17"/>
  <c r="F179" i="17"/>
  <c r="F180" i="17" s="1"/>
  <c r="F181" i="17" s="1"/>
  <c r="F182" i="17" s="1"/>
  <c r="G14" i="17"/>
  <c r="I205" i="17"/>
  <c r="I213" i="17"/>
  <c r="I211" i="17"/>
  <c r="J336" i="17"/>
  <c r="I204" i="17"/>
  <c r="J337" i="17"/>
  <c r="J346" i="17"/>
  <c r="J398" i="17" s="1"/>
  <c r="J99" i="17"/>
  <c r="H184" i="17"/>
  <c r="C225" i="17" s="1"/>
  <c r="C255" i="17" s="1"/>
  <c r="B185" i="17"/>
  <c r="J350" i="17"/>
  <c r="K181" i="17"/>
  <c r="I222" i="17" s="1"/>
  <c r="I252" i="17" s="1"/>
  <c r="E182" i="17"/>
  <c r="J345" i="17"/>
  <c r="J381" i="17"/>
  <c r="J355" i="17"/>
  <c r="J328" i="17"/>
  <c r="K56" i="17"/>
  <c r="K247" i="17" s="1"/>
  <c r="F64" i="17"/>
  <c r="D183" i="17"/>
  <c r="J182" i="17"/>
  <c r="G223" i="17" s="1"/>
  <c r="G253" i="17" s="1"/>
  <c r="F306" i="17" s="1"/>
  <c r="J343" i="17"/>
  <c r="J338" i="17"/>
  <c r="B307" i="17"/>
  <c r="B281" i="17"/>
  <c r="J370" i="17"/>
  <c r="J396" i="17"/>
  <c r="J383" i="17"/>
  <c r="J357" i="17"/>
  <c r="J335" i="17"/>
  <c r="H278" i="17"/>
  <c r="F278" i="13"/>
  <c r="B185" i="13"/>
  <c r="B186" i="13" s="1"/>
  <c r="B187" i="13" s="1"/>
  <c r="B188" i="13" s="1"/>
  <c r="B189" i="13" s="1"/>
  <c r="H184" i="13"/>
  <c r="C225" i="13"/>
  <c r="C255" i="13" s="1"/>
  <c r="B308" i="13" s="1"/>
  <c r="I182" i="13"/>
  <c r="E223" i="13"/>
  <c r="E253" i="13"/>
  <c r="C183" i="13"/>
  <c r="B307" i="13"/>
  <c r="B281" i="13"/>
  <c r="D305" i="13"/>
  <c r="D279" i="13"/>
  <c r="D182" i="13"/>
  <c r="J181" i="13"/>
  <c r="G222" i="13"/>
  <c r="G252" i="13"/>
  <c r="F305" i="13" s="1"/>
  <c r="B307" i="9"/>
  <c r="B185" i="9"/>
  <c r="H184" i="9"/>
  <c r="C225" i="9"/>
  <c r="C255" i="9" s="1"/>
  <c r="B308" i="9" s="1"/>
  <c r="J181" i="9"/>
  <c r="G222" i="9" s="1"/>
  <c r="G252" i="9" s="1"/>
  <c r="I183" i="9"/>
  <c r="E224" i="9"/>
  <c r="E254" i="9"/>
  <c r="K179" i="9"/>
  <c r="I220" i="9" s="1"/>
  <c r="I250" i="9" s="1"/>
  <c r="L177" i="9"/>
  <c r="K218" i="9"/>
  <c r="K248" i="9"/>
  <c r="K97" i="9"/>
  <c r="H185" i="5"/>
  <c r="C226" i="5" s="1"/>
  <c r="C256" i="5" s="1"/>
  <c r="B309" i="5" s="1"/>
  <c r="I183" i="5"/>
  <c r="E224" i="5" s="1"/>
  <c r="E254" i="5" s="1"/>
  <c r="K181" i="5"/>
  <c r="I222" i="5" s="1"/>
  <c r="I252" i="5" s="1"/>
  <c r="J182" i="5"/>
  <c r="L180" i="5"/>
  <c r="K221" i="5"/>
  <c r="K251" i="5" s="1"/>
  <c r="S126" i="2"/>
  <c r="S127" i="2"/>
  <c r="S128" i="2"/>
  <c r="S129" i="2"/>
  <c r="S130" i="2"/>
  <c r="S131" i="2"/>
  <c r="S132" i="2"/>
  <c r="S133" i="2"/>
  <c r="S134" i="2"/>
  <c r="H278" i="21"/>
  <c r="J349" i="13"/>
  <c r="J330" i="13"/>
  <c r="O169" i="13"/>
  <c r="O162" i="13"/>
  <c r="H303" i="13"/>
  <c r="O170" i="13"/>
  <c r="O168" i="13"/>
  <c r="O165" i="13"/>
  <c r="O166" i="13"/>
  <c r="O173" i="13"/>
  <c r="G30" i="13"/>
  <c r="O163" i="13"/>
  <c r="O171" i="13"/>
  <c r="J366" i="21"/>
  <c r="O167" i="13"/>
  <c r="O164" i="13"/>
  <c r="J377" i="17"/>
  <c r="J369" i="21"/>
  <c r="J399" i="17"/>
  <c r="J400" i="17"/>
  <c r="J373" i="17"/>
  <c r="J365" i="17"/>
  <c r="J392" i="17"/>
  <c r="J367" i="17"/>
  <c r="J355" i="21"/>
  <c r="J374" i="17"/>
  <c r="J389" i="21"/>
  <c r="J386" i="17"/>
  <c r="J368" i="17"/>
  <c r="J358" i="17"/>
  <c r="J359" i="17"/>
  <c r="J366" i="17"/>
  <c r="J385" i="17"/>
  <c r="J391" i="17"/>
  <c r="J381" i="21"/>
  <c r="J356" i="13"/>
  <c r="J403" i="17"/>
  <c r="J402" i="13"/>
  <c r="J375" i="13"/>
  <c r="J401" i="13"/>
  <c r="K56" i="13"/>
  <c r="F64" i="13"/>
  <c r="J382" i="13"/>
  <c r="I213" i="13"/>
  <c r="J339" i="13"/>
  <c r="I211" i="13"/>
  <c r="J338" i="13"/>
  <c r="J334" i="13"/>
  <c r="J351" i="13"/>
  <c r="J340" i="13"/>
  <c r="J337" i="13"/>
  <c r="J329" i="13"/>
  <c r="G14" i="13"/>
  <c r="I205" i="13"/>
  <c r="J342" i="13"/>
  <c r="J332" i="13"/>
  <c r="E181" i="13"/>
  <c r="K180" i="13"/>
  <c r="I221" i="13"/>
  <c r="I251" i="13"/>
  <c r="H304" i="13" s="1"/>
  <c r="J331" i="13"/>
  <c r="J328" i="13"/>
  <c r="J335" i="13"/>
  <c r="J344" i="13"/>
  <c r="J336" i="13"/>
  <c r="J333" i="13"/>
  <c r="J347" i="13"/>
  <c r="J343" i="13"/>
  <c r="J341" i="13"/>
  <c r="J348" i="13"/>
  <c r="I204" i="13"/>
  <c r="F179" i="13"/>
  <c r="L178" i="13"/>
  <c r="K219" i="13"/>
  <c r="K249" i="13"/>
  <c r="J99" i="13"/>
  <c r="H276" i="13"/>
  <c r="H275" i="13"/>
  <c r="H301" i="13"/>
  <c r="H277" i="13"/>
  <c r="J345" i="13"/>
  <c r="J346" i="13"/>
  <c r="B309" i="37"/>
  <c r="B187" i="37"/>
  <c r="H186" i="37"/>
  <c r="C227" i="37"/>
  <c r="C257" i="37"/>
  <c r="B310" i="37" s="1"/>
  <c r="K182" i="29"/>
  <c r="I223" i="29" s="1"/>
  <c r="I253" i="29" s="1"/>
  <c r="H306" i="29" s="1"/>
  <c r="I185" i="29"/>
  <c r="E226" i="29"/>
  <c r="E256" i="29"/>
  <c r="D309" i="29" s="1"/>
  <c r="C186" i="29"/>
  <c r="D184" i="29"/>
  <c r="J183" i="29"/>
  <c r="G224" i="29" s="1"/>
  <c r="G254" i="29" s="1"/>
  <c r="F307" i="29" s="1"/>
  <c r="B308" i="29"/>
  <c r="B282" i="29"/>
  <c r="H279" i="29"/>
  <c r="F183" i="29"/>
  <c r="L182" i="29"/>
  <c r="K223" i="29" s="1"/>
  <c r="K253" i="29" s="1"/>
  <c r="J280" i="29"/>
  <c r="J306" i="29"/>
  <c r="F306" i="29"/>
  <c r="F280" i="29"/>
  <c r="H185" i="29"/>
  <c r="C226" i="29" s="1"/>
  <c r="C256" i="29" s="1"/>
  <c r="B186" i="29"/>
  <c r="D308" i="29"/>
  <c r="D282" i="29"/>
  <c r="B308" i="25"/>
  <c r="B282" i="25"/>
  <c r="C185" i="25"/>
  <c r="I184" i="25"/>
  <c r="E225" i="25" s="1"/>
  <c r="E255" i="25" s="1"/>
  <c r="D308" i="25" s="1"/>
  <c r="H275" i="25"/>
  <c r="H276" i="25"/>
  <c r="H277" i="25"/>
  <c r="F280" i="25"/>
  <c r="J276" i="25"/>
  <c r="J302" i="25" s="1"/>
  <c r="J277" i="25"/>
  <c r="J303" i="25"/>
  <c r="J275" i="25"/>
  <c r="J301" i="25" s="1"/>
  <c r="D184" i="25"/>
  <c r="J183" i="25"/>
  <c r="G224" i="25" s="1"/>
  <c r="G254" i="25" s="1"/>
  <c r="F307" i="25" s="1"/>
  <c r="H185" i="25"/>
  <c r="C226" i="25"/>
  <c r="C256" i="25"/>
  <c r="B186" i="25"/>
  <c r="B187" i="25" s="1"/>
  <c r="B188" i="25" s="1"/>
  <c r="B189" i="25" s="1"/>
  <c r="B190" i="25" s="1"/>
  <c r="B191" i="25" s="1"/>
  <c r="B192" i="25" s="1"/>
  <c r="D281" i="25"/>
  <c r="L180" i="25"/>
  <c r="K221" i="25" s="1"/>
  <c r="K251" i="25" s="1"/>
  <c r="J278" i="25"/>
  <c r="J304" i="25"/>
  <c r="F181" i="25"/>
  <c r="F182" i="25" s="1"/>
  <c r="F183" i="25" s="1"/>
  <c r="K180" i="25"/>
  <c r="E181" i="25"/>
  <c r="J368" i="21"/>
  <c r="J394" i="21"/>
  <c r="J380" i="21"/>
  <c r="J354" i="21"/>
  <c r="J401" i="21"/>
  <c r="J375" i="21"/>
  <c r="J398" i="21"/>
  <c r="J372" i="21"/>
  <c r="J382" i="21"/>
  <c r="J356" i="21"/>
  <c r="F180" i="21"/>
  <c r="L179" i="21"/>
  <c r="K220" i="21"/>
  <c r="K250" i="21" s="1"/>
  <c r="C186" i="21"/>
  <c r="I185" i="21"/>
  <c r="E226" i="21"/>
  <c r="E256" i="21"/>
  <c r="D309" i="21" s="1"/>
  <c r="K247" i="21"/>
  <c r="F68" i="21"/>
  <c r="F70" i="21"/>
  <c r="E182" i="21"/>
  <c r="K181" i="21"/>
  <c r="I222" i="21"/>
  <c r="I252" i="21"/>
  <c r="J183" i="21"/>
  <c r="G224" i="21" s="1"/>
  <c r="G254" i="21" s="1"/>
  <c r="F307" i="21" s="1"/>
  <c r="J397" i="21"/>
  <c r="J371" i="21"/>
  <c r="J400" i="21"/>
  <c r="J374" i="21"/>
  <c r="B284" i="21"/>
  <c r="J384" i="21"/>
  <c r="J358" i="21"/>
  <c r="J403" i="21"/>
  <c r="J377" i="21"/>
  <c r="J399" i="21"/>
  <c r="J373" i="21"/>
  <c r="J386" i="21"/>
  <c r="J360" i="21"/>
  <c r="D282" i="21"/>
  <c r="F280" i="21"/>
  <c r="B188" i="21"/>
  <c r="B189" i="21" s="1"/>
  <c r="B190" i="21" s="1"/>
  <c r="B191" i="21" s="1"/>
  <c r="B192" i="21" s="1"/>
  <c r="H187" i="21"/>
  <c r="C228" i="21" s="1"/>
  <c r="C258" i="21" s="1"/>
  <c r="B311" i="21" s="1"/>
  <c r="J387" i="21"/>
  <c r="J361" i="21"/>
  <c r="J383" i="21"/>
  <c r="J357" i="21"/>
  <c r="J396" i="21"/>
  <c r="J370" i="21"/>
  <c r="J395" i="17"/>
  <c r="J369" i="17"/>
  <c r="J371" i="17"/>
  <c r="J397" i="17"/>
  <c r="J387" i="17"/>
  <c r="J361" i="17"/>
  <c r="D184" i="17"/>
  <c r="J183" i="17"/>
  <c r="G224" i="17" s="1"/>
  <c r="G254" i="17" s="1"/>
  <c r="F307" i="17" s="1"/>
  <c r="J354" i="17"/>
  <c r="J380" i="17"/>
  <c r="H305" i="17"/>
  <c r="H279" i="17"/>
  <c r="J402" i="17"/>
  <c r="J376" i="17"/>
  <c r="D282" i="17"/>
  <c r="J390" i="17"/>
  <c r="J364" i="17"/>
  <c r="H185" i="17"/>
  <c r="C226" i="17"/>
  <c r="C256" i="17" s="1"/>
  <c r="B309" i="17" s="1"/>
  <c r="B186" i="17"/>
  <c r="J388" i="17"/>
  <c r="J362" i="17"/>
  <c r="L179" i="17"/>
  <c r="K220" i="17" s="1"/>
  <c r="K250" i="17" s="1"/>
  <c r="C186" i="17"/>
  <c r="I185" i="17"/>
  <c r="E226" i="17"/>
  <c r="E256" i="17"/>
  <c r="B308" i="17"/>
  <c r="B282" i="17"/>
  <c r="F280" i="17"/>
  <c r="F68" i="17"/>
  <c r="F70" i="17"/>
  <c r="K182" i="17"/>
  <c r="I223" i="17" s="1"/>
  <c r="I253" i="17" s="1"/>
  <c r="H306" i="17" s="1"/>
  <c r="E183" i="17"/>
  <c r="F69" i="17"/>
  <c r="I183" i="13"/>
  <c r="E224" i="13"/>
  <c r="E254" i="13"/>
  <c r="D307" i="13" s="1"/>
  <c r="C184" i="13"/>
  <c r="C185" i="13" s="1"/>
  <c r="C186" i="13" s="1"/>
  <c r="H185" i="13"/>
  <c r="C226" i="13"/>
  <c r="C256" i="13" s="1"/>
  <c r="B309" i="13" s="1"/>
  <c r="F279" i="13"/>
  <c r="D306" i="13"/>
  <c r="D280" i="13"/>
  <c r="B282" i="13"/>
  <c r="J182" i="13"/>
  <c r="G223" i="13" s="1"/>
  <c r="G253" i="13" s="1"/>
  <c r="F306" i="13" s="1"/>
  <c r="D183" i="13"/>
  <c r="I184" i="9"/>
  <c r="E225" i="9" s="1"/>
  <c r="E255" i="9" s="1"/>
  <c r="J99" i="9"/>
  <c r="B186" i="9"/>
  <c r="H185" i="9"/>
  <c r="C226" i="9"/>
  <c r="C256" i="9"/>
  <c r="B309" i="9" s="1"/>
  <c r="L178" i="9"/>
  <c r="K219" i="9" s="1"/>
  <c r="K249" i="9" s="1"/>
  <c r="K180" i="9"/>
  <c r="I221" i="9"/>
  <c r="I251" i="9"/>
  <c r="J182" i="9"/>
  <c r="G223" i="9"/>
  <c r="G253" i="9"/>
  <c r="L181" i="5"/>
  <c r="J183" i="5"/>
  <c r="G224" i="5" s="1"/>
  <c r="G254" i="5" s="1"/>
  <c r="K182" i="5"/>
  <c r="I184" i="5"/>
  <c r="E225" i="5" s="1"/>
  <c r="E255" i="5" s="1"/>
  <c r="H186" i="5"/>
  <c r="P140" i="2"/>
  <c r="Q140" i="2"/>
  <c r="R140" i="2"/>
  <c r="H278" i="13"/>
  <c r="H278" i="25"/>
  <c r="J370" i="13"/>
  <c r="J396" i="13"/>
  <c r="J357" i="13"/>
  <c r="J383" i="13"/>
  <c r="J403" i="13"/>
  <c r="J377" i="13"/>
  <c r="F68" i="13"/>
  <c r="F70" i="13"/>
  <c r="K247" i="13"/>
  <c r="J393" i="13"/>
  <c r="J367" i="13"/>
  <c r="J387" i="13"/>
  <c r="J361" i="13"/>
  <c r="J392" i="13"/>
  <c r="J366" i="13"/>
  <c r="J386" i="13"/>
  <c r="J360" i="13"/>
  <c r="F180" i="13"/>
  <c r="L179" i="13"/>
  <c r="K220" i="13"/>
  <c r="K250" i="13"/>
  <c r="J400" i="13"/>
  <c r="J374" i="13"/>
  <c r="J369" i="13"/>
  <c r="J395" i="13"/>
  <c r="J388" i="13"/>
  <c r="J362" i="13"/>
  <c r="E182" i="13"/>
  <c r="E183" i="13" s="1"/>
  <c r="E184" i="13" s="1"/>
  <c r="K181" i="13"/>
  <c r="I222" i="13"/>
  <c r="I252" i="13" s="1"/>
  <c r="H305" i="13" s="1"/>
  <c r="J358" i="13"/>
  <c r="J384" i="13"/>
  <c r="J365" i="13"/>
  <c r="J391" i="13"/>
  <c r="J371" i="13"/>
  <c r="J397" i="13"/>
  <c r="F69" i="13"/>
  <c r="J354" i="13"/>
  <c r="J380" i="13"/>
  <c r="J368" i="13"/>
  <c r="J394" i="13"/>
  <c r="J390" i="13"/>
  <c r="J364" i="13"/>
  <c r="B188" i="37"/>
  <c r="H187" i="37"/>
  <c r="C228" i="37"/>
  <c r="C258" i="37" s="1"/>
  <c r="B311" i="37" s="1"/>
  <c r="D185" i="29"/>
  <c r="J184" i="29"/>
  <c r="G225" i="29" s="1"/>
  <c r="G255" i="29" s="1"/>
  <c r="H186" i="29"/>
  <c r="C227" i="29"/>
  <c r="C257" i="29"/>
  <c r="B310" i="29" s="1"/>
  <c r="B187" i="29"/>
  <c r="B188" i="29" s="1"/>
  <c r="F281" i="29"/>
  <c r="D283" i="29"/>
  <c r="H280" i="29"/>
  <c r="B309" i="29"/>
  <c r="B283" i="29"/>
  <c r="L183" i="29"/>
  <c r="K224" i="29"/>
  <c r="K254" i="29" s="1"/>
  <c r="J281" i="29"/>
  <c r="J307" i="29" s="1"/>
  <c r="F184" i="29"/>
  <c r="I186" i="29"/>
  <c r="E227" i="29" s="1"/>
  <c r="E257" i="29" s="1"/>
  <c r="D310" i="29" s="1"/>
  <c r="C187" i="29"/>
  <c r="K183" i="29"/>
  <c r="I224" i="29" s="1"/>
  <c r="I254" i="29" s="1"/>
  <c r="H307" i="29" s="1"/>
  <c r="H186" i="25"/>
  <c r="C227" i="25" s="1"/>
  <c r="C257" i="25" s="1"/>
  <c r="B310" i="25" s="1"/>
  <c r="F281" i="25"/>
  <c r="D282" i="25"/>
  <c r="B309" i="25"/>
  <c r="B283" i="25"/>
  <c r="D185" i="25"/>
  <c r="J184" i="25"/>
  <c r="G225" i="25" s="1"/>
  <c r="G255" i="25" s="1"/>
  <c r="F308" i="25" s="1"/>
  <c r="C186" i="25"/>
  <c r="I185" i="25"/>
  <c r="E226" i="25"/>
  <c r="E256" i="25"/>
  <c r="D309" i="25" s="1"/>
  <c r="K181" i="25"/>
  <c r="I222" i="25"/>
  <c r="I252" i="25" s="1"/>
  <c r="H305" i="25" s="1"/>
  <c r="E182" i="25"/>
  <c r="L181" i="25"/>
  <c r="K222" i="25"/>
  <c r="K252" i="25"/>
  <c r="J279" i="25"/>
  <c r="J305" i="25" s="1"/>
  <c r="F281" i="21"/>
  <c r="H305" i="21"/>
  <c r="H279" i="21"/>
  <c r="I186" i="21"/>
  <c r="E227" i="21"/>
  <c r="E257" i="21" s="1"/>
  <c r="D310" i="21" s="1"/>
  <c r="C187" i="21"/>
  <c r="B285" i="21"/>
  <c r="E183" i="21"/>
  <c r="K182" i="21"/>
  <c r="I223" i="21"/>
  <c r="I253" i="21" s="1"/>
  <c r="H306" i="21" s="1"/>
  <c r="J277" i="21"/>
  <c r="J303" i="21"/>
  <c r="J276" i="21"/>
  <c r="J302" i="21" s="1"/>
  <c r="J275" i="21"/>
  <c r="J301" i="21"/>
  <c r="F181" i="21"/>
  <c r="F182" i="21" s="1"/>
  <c r="F183" i="21" s="1"/>
  <c r="F184" i="21" s="1"/>
  <c r="F185" i="21" s="1"/>
  <c r="F186" i="21" s="1"/>
  <c r="F187" i="21" s="1"/>
  <c r="F188" i="21" s="1"/>
  <c r="L180" i="21"/>
  <c r="K221" i="21" s="1"/>
  <c r="K251" i="21" s="1"/>
  <c r="J278" i="21"/>
  <c r="J304" i="21" s="1"/>
  <c r="H188" i="21"/>
  <c r="C229" i="21"/>
  <c r="C259" i="21"/>
  <c r="B312" i="21" s="1"/>
  <c r="J184" i="21"/>
  <c r="G225" i="21"/>
  <c r="G255" i="21" s="1"/>
  <c r="F308" i="21" s="1"/>
  <c r="D283" i="21"/>
  <c r="K183" i="17"/>
  <c r="I224" i="17" s="1"/>
  <c r="I254" i="17" s="1"/>
  <c r="H307" i="17" s="1"/>
  <c r="E184" i="17"/>
  <c r="H186" i="17"/>
  <c r="B187" i="17"/>
  <c r="D309" i="17"/>
  <c r="D283" i="17"/>
  <c r="L180" i="17"/>
  <c r="K221" i="17" s="1"/>
  <c r="K251" i="17" s="1"/>
  <c r="J278" i="17"/>
  <c r="J304" i="17" s="1"/>
  <c r="D185" i="17"/>
  <c r="J184" i="17"/>
  <c r="G225" i="17"/>
  <c r="G255" i="17" s="1"/>
  <c r="F308" i="17" s="1"/>
  <c r="H280" i="17"/>
  <c r="B283" i="17"/>
  <c r="F281" i="17"/>
  <c r="J275" i="17"/>
  <c r="J301" i="17" s="1"/>
  <c r="J277" i="17"/>
  <c r="J303" i="17"/>
  <c r="J276" i="17"/>
  <c r="J302" i="17" s="1"/>
  <c r="C187" i="17"/>
  <c r="I186" i="17"/>
  <c r="I184" i="13"/>
  <c r="E225" i="13" s="1"/>
  <c r="E255" i="13" s="1"/>
  <c r="D308" i="13" s="1"/>
  <c r="D184" i="13"/>
  <c r="J183" i="13"/>
  <c r="G224" i="13"/>
  <c r="G254" i="13"/>
  <c r="D281" i="13"/>
  <c r="B283" i="13"/>
  <c r="F280" i="13"/>
  <c r="H186" i="13"/>
  <c r="C227" i="13"/>
  <c r="C257" i="13"/>
  <c r="K181" i="9"/>
  <c r="I222" i="9"/>
  <c r="I252" i="9" s="1"/>
  <c r="I185" i="9"/>
  <c r="E226" i="9"/>
  <c r="E256" i="9" s="1"/>
  <c r="J183" i="9"/>
  <c r="G224" i="9"/>
  <c r="G254" i="9"/>
  <c r="B187" i="9"/>
  <c r="B188" i="9" s="1"/>
  <c r="B189" i="9" s="1"/>
  <c r="B190" i="9" s="1"/>
  <c r="H186" i="9"/>
  <c r="C227" i="9"/>
  <c r="C257" i="9" s="1"/>
  <c r="L179" i="9"/>
  <c r="K220" i="9" s="1"/>
  <c r="K250" i="9" s="1"/>
  <c r="I185" i="5"/>
  <c r="E226" i="5" s="1"/>
  <c r="E256" i="5" s="1"/>
  <c r="E44" i="6"/>
  <c r="J184" i="5"/>
  <c r="G225" i="5" s="1"/>
  <c r="G255" i="5" s="1"/>
  <c r="H187" i="5"/>
  <c r="K183" i="5"/>
  <c r="L182" i="5"/>
  <c r="K223" i="5" s="1"/>
  <c r="K253" i="5" s="1"/>
  <c r="G109" i="1"/>
  <c r="F106" i="1"/>
  <c r="G107" i="1"/>
  <c r="E105" i="1"/>
  <c r="F105" i="1"/>
  <c r="G105" i="1"/>
  <c r="E106" i="1"/>
  <c r="G106" i="1"/>
  <c r="E107" i="1"/>
  <c r="F107" i="1"/>
  <c r="E108" i="1"/>
  <c r="F108" i="1"/>
  <c r="E109" i="1"/>
  <c r="F109" i="1"/>
  <c r="E110" i="1"/>
  <c r="F110" i="1"/>
  <c r="G110" i="1"/>
  <c r="E111" i="1"/>
  <c r="F111" i="1"/>
  <c r="G111" i="1"/>
  <c r="E112" i="1"/>
  <c r="F112" i="1"/>
  <c r="G112" i="1"/>
  <c r="H112" i="1" s="1"/>
  <c r="E113" i="1"/>
  <c r="H113" i="1" s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04" i="1"/>
  <c r="F104" i="1"/>
  <c r="G104" i="1"/>
  <c r="B227" i="17"/>
  <c r="B257" i="17"/>
  <c r="D227" i="17"/>
  <c r="E227" i="17" s="1"/>
  <c r="E257" i="17" s="1"/>
  <c r="D257" i="17"/>
  <c r="D310" i="17" s="1"/>
  <c r="H279" i="13"/>
  <c r="J277" i="13"/>
  <c r="J303" i="13"/>
  <c r="J276" i="13"/>
  <c r="J302" i="13"/>
  <c r="J275" i="13"/>
  <c r="J301" i="13" s="1"/>
  <c r="K182" i="13"/>
  <c r="I223" i="13"/>
  <c r="I253" i="13"/>
  <c r="H306" i="13" s="1"/>
  <c r="F181" i="13"/>
  <c r="L180" i="13"/>
  <c r="K221" i="13" s="1"/>
  <c r="K251" i="13" s="1"/>
  <c r="J278" i="13"/>
  <c r="J304" i="13"/>
  <c r="B189" i="37"/>
  <c r="H188" i="37"/>
  <c r="C229" i="37"/>
  <c r="C259" i="37"/>
  <c r="D284" i="29"/>
  <c r="K184" i="29"/>
  <c r="I225" i="29" s="1"/>
  <c r="I255" i="29" s="1"/>
  <c r="F185" i="29"/>
  <c r="L184" i="29"/>
  <c r="K225" i="29"/>
  <c r="K255" i="29" s="1"/>
  <c r="J282" i="29"/>
  <c r="J308" i="29" s="1"/>
  <c r="I187" i="29"/>
  <c r="E228" i="29"/>
  <c r="E258" i="29"/>
  <c r="C188" i="29"/>
  <c r="H187" i="29"/>
  <c r="C228" i="29" s="1"/>
  <c r="C258" i="29" s="1"/>
  <c r="H281" i="29"/>
  <c r="B284" i="29"/>
  <c r="F308" i="29"/>
  <c r="F282" i="29"/>
  <c r="D186" i="29"/>
  <c r="J185" i="29"/>
  <c r="G226" i="29" s="1"/>
  <c r="G256" i="29" s="1"/>
  <c r="F309" i="29" s="1"/>
  <c r="H279" i="25"/>
  <c r="D186" i="25"/>
  <c r="D187" i="25" s="1"/>
  <c r="J185" i="25"/>
  <c r="G226" i="25"/>
  <c r="G256" i="25" s="1"/>
  <c r="F309" i="25" s="1"/>
  <c r="H187" i="25"/>
  <c r="C228" i="25"/>
  <c r="C258" i="25"/>
  <c r="L182" i="25"/>
  <c r="K223" i="25" s="1"/>
  <c r="K253" i="25" s="1"/>
  <c r="J280" i="25"/>
  <c r="J306" i="25" s="1"/>
  <c r="D283" i="25"/>
  <c r="B284" i="25"/>
  <c r="C187" i="25"/>
  <c r="I186" i="25"/>
  <c r="E227" i="25" s="1"/>
  <c r="E257" i="25" s="1"/>
  <c r="D310" i="25" s="1"/>
  <c r="K182" i="25"/>
  <c r="I223" i="25"/>
  <c r="I253" i="25"/>
  <c r="E183" i="25"/>
  <c r="F282" i="25"/>
  <c r="J185" i="21"/>
  <c r="G226" i="21"/>
  <c r="G256" i="21"/>
  <c r="H280" i="21"/>
  <c r="F282" i="21"/>
  <c r="H189" i="21"/>
  <c r="C230" i="21"/>
  <c r="C260" i="21"/>
  <c r="K183" i="21"/>
  <c r="I224" i="21" s="1"/>
  <c r="I254" i="21" s="1"/>
  <c r="H307" i="21" s="1"/>
  <c r="E184" i="21"/>
  <c r="D284" i="21"/>
  <c r="B286" i="21"/>
  <c r="C188" i="21"/>
  <c r="I187" i="21"/>
  <c r="E228" i="21"/>
  <c r="E258" i="21" s="1"/>
  <c r="L181" i="21"/>
  <c r="K222" i="21"/>
  <c r="K252" i="21"/>
  <c r="J279" i="21"/>
  <c r="J305" i="21" s="1"/>
  <c r="F282" i="17"/>
  <c r="H281" i="17"/>
  <c r="C188" i="17"/>
  <c r="I187" i="17"/>
  <c r="D186" i="17"/>
  <c r="J185" i="17"/>
  <c r="G226" i="17"/>
  <c r="G256" i="17" s="1"/>
  <c r="F309" i="17" s="1"/>
  <c r="H187" i="17"/>
  <c r="B188" i="17"/>
  <c r="L181" i="17"/>
  <c r="K222" i="17"/>
  <c r="K252" i="17" s="1"/>
  <c r="J279" i="17"/>
  <c r="J305" i="17"/>
  <c r="K184" i="17"/>
  <c r="I225" i="17"/>
  <c r="I255" i="17"/>
  <c r="E185" i="17"/>
  <c r="B310" i="13"/>
  <c r="B284" i="13"/>
  <c r="I185" i="13"/>
  <c r="E226" i="13" s="1"/>
  <c r="E256" i="13" s="1"/>
  <c r="D309" i="13" s="1"/>
  <c r="H187" i="13"/>
  <c r="C228" i="13"/>
  <c r="C258" i="13" s="1"/>
  <c r="B311" i="13" s="1"/>
  <c r="F307" i="13"/>
  <c r="F281" i="13"/>
  <c r="D282" i="13"/>
  <c r="J184" i="13"/>
  <c r="G225" i="13"/>
  <c r="G255" i="13"/>
  <c r="F308" i="13" s="1"/>
  <c r="D185" i="13"/>
  <c r="L180" i="9"/>
  <c r="K221" i="9" s="1"/>
  <c r="K251" i="9" s="1"/>
  <c r="B310" i="9"/>
  <c r="J184" i="9"/>
  <c r="G225" i="9" s="1"/>
  <c r="G255" i="9" s="1"/>
  <c r="H187" i="9"/>
  <c r="C228" i="9" s="1"/>
  <c r="C258" i="9" s="1"/>
  <c r="B311" i="9" s="1"/>
  <c r="I186" i="9"/>
  <c r="E227" i="9" s="1"/>
  <c r="E257" i="9" s="1"/>
  <c r="K182" i="9"/>
  <c r="I223" i="9" s="1"/>
  <c r="I253" i="9" s="1"/>
  <c r="K184" i="5"/>
  <c r="I225" i="5" s="1"/>
  <c r="I255" i="5" s="1"/>
  <c r="J185" i="5"/>
  <c r="G226" i="5" s="1"/>
  <c r="G256" i="5" s="1"/>
  <c r="I186" i="5"/>
  <c r="E227" i="5" s="1"/>
  <c r="E257" i="5" s="1"/>
  <c r="L183" i="5"/>
  <c r="H188" i="5"/>
  <c r="E45" i="6"/>
  <c r="G108" i="1"/>
  <c r="H108" i="1"/>
  <c r="H117" i="1"/>
  <c r="H114" i="1"/>
  <c r="H111" i="1"/>
  <c r="H109" i="1"/>
  <c r="H107" i="1"/>
  <c r="H116" i="1"/>
  <c r="B229" i="5"/>
  <c r="B259" i="5" s="1"/>
  <c r="C157" i="21"/>
  <c r="D228" i="17"/>
  <c r="D258" i="17" s="1"/>
  <c r="B228" i="17"/>
  <c r="B258" i="17" s="1"/>
  <c r="C227" i="17"/>
  <c r="C257" i="17"/>
  <c r="K183" i="13"/>
  <c r="I224" i="13" s="1"/>
  <c r="I254" i="13" s="1"/>
  <c r="H307" i="13" s="1"/>
  <c r="F182" i="13"/>
  <c r="L181" i="13"/>
  <c r="K222" i="13"/>
  <c r="K252" i="13"/>
  <c r="J279" i="13"/>
  <c r="J305" i="13"/>
  <c r="H280" i="13"/>
  <c r="B312" i="37"/>
  <c r="B190" i="37"/>
  <c r="H189" i="37"/>
  <c r="C230" i="37"/>
  <c r="C260" i="37" s="1"/>
  <c r="B313" i="37" s="1"/>
  <c r="I188" i="29"/>
  <c r="C189" i="29"/>
  <c r="C190" i="29" s="1"/>
  <c r="H308" i="29"/>
  <c r="H282" i="29"/>
  <c r="F283" i="29"/>
  <c r="D311" i="29"/>
  <c r="D285" i="29"/>
  <c r="K185" i="29"/>
  <c r="I226" i="29"/>
  <c r="I256" i="29" s="1"/>
  <c r="H309" i="29" s="1"/>
  <c r="D187" i="29"/>
  <c r="J186" i="29"/>
  <c r="H188" i="29"/>
  <c r="B189" i="29"/>
  <c r="B190" i="29" s="1"/>
  <c r="B311" i="29"/>
  <c r="B285" i="29"/>
  <c r="L185" i="29"/>
  <c r="K226" i="29" s="1"/>
  <c r="K256" i="29" s="1"/>
  <c r="J283" i="29"/>
  <c r="J309" i="29"/>
  <c r="F186" i="29"/>
  <c r="F187" i="29" s="1"/>
  <c r="H306" i="25"/>
  <c r="H280" i="25"/>
  <c r="L183" i="25"/>
  <c r="K224" i="25" s="1"/>
  <c r="K254" i="25" s="1"/>
  <c r="J281" i="25"/>
  <c r="J307" i="25"/>
  <c r="F184" i="25"/>
  <c r="F185" i="25" s="1"/>
  <c r="F186" i="25" s="1"/>
  <c r="F283" i="25"/>
  <c r="D284" i="25"/>
  <c r="J186" i="25"/>
  <c r="G227" i="25"/>
  <c r="G257" i="25"/>
  <c r="C188" i="25"/>
  <c r="I187" i="25"/>
  <c r="E228" i="25"/>
  <c r="E258" i="25" s="1"/>
  <c r="H188" i="25"/>
  <c r="K183" i="25"/>
  <c r="I224" i="25"/>
  <c r="I254" i="25"/>
  <c r="H307" i="25" s="1"/>
  <c r="E184" i="25"/>
  <c r="B311" i="25"/>
  <c r="B285" i="25"/>
  <c r="I188" i="21"/>
  <c r="E229" i="21"/>
  <c r="E259" i="21"/>
  <c r="C189" i="21"/>
  <c r="C190" i="21" s="1"/>
  <c r="B313" i="21"/>
  <c r="B287" i="21"/>
  <c r="L182" i="21"/>
  <c r="K223" i="21" s="1"/>
  <c r="K253" i="21" s="1"/>
  <c r="J280" i="21"/>
  <c r="J306" i="21"/>
  <c r="D311" i="21"/>
  <c r="D285" i="21"/>
  <c r="H281" i="21"/>
  <c r="H190" i="21"/>
  <c r="J186" i="21"/>
  <c r="G227" i="21" s="1"/>
  <c r="G257" i="21" s="1"/>
  <c r="F310" i="21" s="1"/>
  <c r="E185" i="21"/>
  <c r="K184" i="21"/>
  <c r="I225" i="21"/>
  <c r="I255" i="21"/>
  <c r="F309" i="21"/>
  <c r="F283" i="21"/>
  <c r="L182" i="17"/>
  <c r="K223" i="17" s="1"/>
  <c r="K253" i="17" s="1"/>
  <c r="J280" i="17"/>
  <c r="J306" i="17"/>
  <c r="F183" i="17"/>
  <c r="C189" i="17"/>
  <c r="I188" i="17"/>
  <c r="F283" i="17"/>
  <c r="K185" i="17"/>
  <c r="I226" i="17"/>
  <c r="I256" i="17"/>
  <c r="H309" i="17" s="1"/>
  <c r="E186" i="17"/>
  <c r="E187" i="17" s="1"/>
  <c r="E188" i="17" s="1"/>
  <c r="E189" i="17" s="1"/>
  <c r="E190" i="17" s="1"/>
  <c r="E191" i="17" s="1"/>
  <c r="D187" i="17"/>
  <c r="J186" i="17"/>
  <c r="H308" i="17"/>
  <c r="H282" i="17"/>
  <c r="H188" i="17"/>
  <c r="B189" i="17"/>
  <c r="H188" i="13"/>
  <c r="D186" i="13"/>
  <c r="D187" i="13" s="1"/>
  <c r="D188" i="13" s="1"/>
  <c r="J185" i="13"/>
  <c r="G226" i="13"/>
  <c r="G256" i="13" s="1"/>
  <c r="I186" i="13"/>
  <c r="E227" i="13"/>
  <c r="E257" i="13"/>
  <c r="C187" i="13"/>
  <c r="F282" i="13"/>
  <c r="D283" i="13"/>
  <c r="B285" i="13"/>
  <c r="K183" i="9"/>
  <c r="I224" i="9"/>
  <c r="I254" i="9"/>
  <c r="H158" i="9"/>
  <c r="H159" i="9"/>
  <c r="L181" i="9"/>
  <c r="K222" i="9"/>
  <c r="K252" i="9" s="1"/>
  <c r="I187" i="9"/>
  <c r="E228" i="9"/>
  <c r="E258" i="9"/>
  <c r="H188" i="9"/>
  <c r="C229" i="9"/>
  <c r="C259" i="9" s="1"/>
  <c r="B312" i="9" s="1"/>
  <c r="H157" i="9"/>
  <c r="J185" i="9"/>
  <c r="G226" i="9"/>
  <c r="G256" i="9"/>
  <c r="L184" i="5"/>
  <c r="K225" i="5" s="1"/>
  <c r="K255" i="5" s="1"/>
  <c r="H189" i="5"/>
  <c r="C230" i="5" s="1"/>
  <c r="C260" i="5" s="1"/>
  <c r="B313" i="5" s="1"/>
  <c r="J186" i="5"/>
  <c r="G227" i="5" s="1"/>
  <c r="G257" i="5" s="1"/>
  <c r="I187" i="5"/>
  <c r="E228" i="5" s="1"/>
  <c r="E258" i="5" s="1"/>
  <c r="K185" i="5"/>
  <c r="I226" i="5"/>
  <c r="I256" i="5" s="1"/>
  <c r="F44" i="6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28" i="1"/>
  <c r="B229" i="29"/>
  <c r="B259" i="29"/>
  <c r="D229" i="29"/>
  <c r="D259" i="29" s="1"/>
  <c r="B229" i="25"/>
  <c r="B259" i="25" s="1"/>
  <c r="B229" i="13"/>
  <c r="B259" i="13"/>
  <c r="D284" i="17"/>
  <c r="C228" i="17"/>
  <c r="C258" i="17"/>
  <c r="C158" i="21"/>
  <c r="C159" i="21"/>
  <c r="D229" i="17"/>
  <c r="D259" i="17"/>
  <c r="B310" i="17"/>
  <c r="B284" i="17"/>
  <c r="B229" i="17"/>
  <c r="B259" i="17"/>
  <c r="F227" i="17"/>
  <c r="F257" i="17" s="1"/>
  <c r="B285" i="17"/>
  <c r="L182" i="13"/>
  <c r="K223" i="13" s="1"/>
  <c r="K253" i="13" s="1"/>
  <c r="J280" i="13"/>
  <c r="J306" i="13" s="1"/>
  <c r="F183" i="13"/>
  <c r="H281" i="13"/>
  <c r="E185" i="13"/>
  <c r="K184" i="13"/>
  <c r="I225" i="13"/>
  <c r="I255" i="13" s="1"/>
  <c r="H308" i="13" s="1"/>
  <c r="B191" i="37"/>
  <c r="H190" i="37"/>
  <c r="C231" i="37"/>
  <c r="C261" i="37"/>
  <c r="B314" i="37" s="1"/>
  <c r="H283" i="29"/>
  <c r="I189" i="29"/>
  <c r="E230" i="29" s="1"/>
  <c r="E260" i="29" s="1"/>
  <c r="D313" i="29" s="1"/>
  <c r="F284" i="29"/>
  <c r="D188" i="29"/>
  <c r="J187" i="29"/>
  <c r="G228" i="29"/>
  <c r="G258" i="29" s="1"/>
  <c r="F311" i="29" s="1"/>
  <c r="L186" i="29"/>
  <c r="K227" i="29"/>
  <c r="K257" i="29"/>
  <c r="H189" i="29"/>
  <c r="K186" i="29"/>
  <c r="I227" i="29"/>
  <c r="I257" i="29"/>
  <c r="H310" i="29" s="1"/>
  <c r="H281" i="25"/>
  <c r="D311" i="25"/>
  <c r="D285" i="25"/>
  <c r="L184" i="25"/>
  <c r="K225" i="25"/>
  <c r="K255" i="25"/>
  <c r="J282" i="25"/>
  <c r="J308" i="25" s="1"/>
  <c r="C189" i="25"/>
  <c r="I188" i="25"/>
  <c r="H189" i="25"/>
  <c r="C230" i="25"/>
  <c r="C260" i="25"/>
  <c r="F310" i="25"/>
  <c r="F284" i="25"/>
  <c r="K184" i="25"/>
  <c r="I225" i="25" s="1"/>
  <c r="I255" i="25" s="1"/>
  <c r="E185" i="25"/>
  <c r="D188" i="25"/>
  <c r="J187" i="25"/>
  <c r="G228" i="25"/>
  <c r="G258" i="25" s="1"/>
  <c r="H308" i="21"/>
  <c r="H282" i="21"/>
  <c r="F284" i="21"/>
  <c r="K185" i="21"/>
  <c r="I226" i="21"/>
  <c r="I256" i="21" s="1"/>
  <c r="H309" i="21" s="1"/>
  <c r="E186" i="21"/>
  <c r="B288" i="21"/>
  <c r="I189" i="21"/>
  <c r="J187" i="21"/>
  <c r="G228" i="21" s="1"/>
  <c r="G258" i="21" s="1"/>
  <c r="F311" i="21" s="1"/>
  <c r="H191" i="21"/>
  <c r="C232" i="21"/>
  <c r="C262" i="21"/>
  <c r="B315" i="21" s="1"/>
  <c r="L183" i="21"/>
  <c r="K224" i="21"/>
  <c r="K254" i="21" s="1"/>
  <c r="J281" i="21"/>
  <c r="J307" i="21"/>
  <c r="D312" i="21"/>
  <c r="D286" i="21"/>
  <c r="H189" i="17"/>
  <c r="C230" i="17" s="1"/>
  <c r="C260" i="17"/>
  <c r="B313" i="17" s="1"/>
  <c r="B190" i="17"/>
  <c r="K186" i="17"/>
  <c r="L183" i="17"/>
  <c r="K224" i="17" s="1"/>
  <c r="K254" i="17" s="1"/>
  <c r="J281" i="17"/>
  <c r="J307" i="17"/>
  <c r="F184" i="17"/>
  <c r="H283" i="17"/>
  <c r="C190" i="17"/>
  <c r="I189" i="17"/>
  <c r="E230" i="17" s="1"/>
  <c r="E260" i="17" s="1"/>
  <c r="D313" i="17" s="1"/>
  <c r="D188" i="17"/>
  <c r="J187" i="17"/>
  <c r="I187" i="13"/>
  <c r="E228" i="13"/>
  <c r="E258" i="13"/>
  <c r="C188" i="13"/>
  <c r="D310" i="13"/>
  <c r="D284" i="13"/>
  <c r="J186" i="13"/>
  <c r="G227" i="13"/>
  <c r="G257" i="13" s="1"/>
  <c r="F309" i="13"/>
  <c r="F283" i="13"/>
  <c r="H189" i="13"/>
  <c r="B190" i="13"/>
  <c r="H189" i="9"/>
  <c r="C230" i="9"/>
  <c r="C260" i="9" s="1"/>
  <c r="B313" i="9" s="1"/>
  <c r="L182" i="9"/>
  <c r="K223" i="9" s="1"/>
  <c r="K253" i="9" s="1"/>
  <c r="K184" i="9"/>
  <c r="I225" i="9"/>
  <c r="I255" i="9"/>
  <c r="J186" i="9"/>
  <c r="G227" i="9" s="1"/>
  <c r="G257" i="9" s="1"/>
  <c r="I188" i="9"/>
  <c r="E229" i="9"/>
  <c r="E259" i="9"/>
  <c r="F45" i="6"/>
  <c r="K186" i="5"/>
  <c r="I227" i="5" s="1"/>
  <c r="I257" i="5" s="1"/>
  <c r="J187" i="5"/>
  <c r="G228" i="5"/>
  <c r="G258" i="5" s="1"/>
  <c r="I188" i="5"/>
  <c r="H190" i="5"/>
  <c r="C231" i="5" s="1"/>
  <c r="C261" i="5" s="1"/>
  <c r="H44" i="6"/>
  <c r="L185" i="5"/>
  <c r="A172" i="1"/>
  <c r="A173" i="1"/>
  <c r="A163" i="1"/>
  <c r="A164" i="1"/>
  <c r="A165" i="1"/>
  <c r="A166" i="1"/>
  <c r="A167" i="1"/>
  <c r="A168" i="1"/>
  <c r="A169" i="1"/>
  <c r="A170" i="1"/>
  <c r="A171" i="1"/>
  <c r="C229" i="29"/>
  <c r="C259" i="29"/>
  <c r="B312" i="29" s="1"/>
  <c r="E229" i="29"/>
  <c r="E259" i="29"/>
  <c r="D312" i="29" s="1"/>
  <c r="D229" i="25"/>
  <c r="D259" i="25"/>
  <c r="C229" i="25"/>
  <c r="C259" i="25"/>
  <c r="B312" i="25" s="1"/>
  <c r="B286" i="25"/>
  <c r="C229" i="13"/>
  <c r="C259" i="13"/>
  <c r="B312" i="13" s="1"/>
  <c r="D229" i="5"/>
  <c r="D259" i="5" s="1"/>
  <c r="E46" i="6"/>
  <c r="B311" i="17"/>
  <c r="J284" i="29"/>
  <c r="D157" i="21"/>
  <c r="F228" i="17"/>
  <c r="F258" i="17" s="1"/>
  <c r="H227" i="17"/>
  <c r="H257" i="17" s="1"/>
  <c r="H310" i="17" s="1"/>
  <c r="C229" i="17"/>
  <c r="C259" i="17"/>
  <c r="B312" i="17" s="1"/>
  <c r="D285" i="17"/>
  <c r="G227" i="17"/>
  <c r="G257" i="17" s="1"/>
  <c r="E229" i="17"/>
  <c r="E259" i="17" s="1"/>
  <c r="H282" i="13"/>
  <c r="F184" i="13"/>
  <c r="L183" i="13"/>
  <c r="K224" i="13" s="1"/>
  <c r="K254" i="13" s="1"/>
  <c r="J281" i="13"/>
  <c r="J307" i="13"/>
  <c r="E186" i="13"/>
  <c r="K185" i="13"/>
  <c r="I226" i="13"/>
  <c r="I256" i="13"/>
  <c r="H309" i="13" s="1"/>
  <c r="B192" i="37"/>
  <c r="H191" i="37"/>
  <c r="C232" i="37"/>
  <c r="C262" i="37" s="1"/>
  <c r="E188" i="29"/>
  <c r="K187" i="29"/>
  <c r="I228" i="29"/>
  <c r="I258" i="29" s="1"/>
  <c r="H311" i="29" s="1"/>
  <c r="B287" i="29"/>
  <c r="D189" i="29"/>
  <c r="J188" i="29"/>
  <c r="G229" i="29" s="1"/>
  <c r="G259" i="29" s="1"/>
  <c r="H284" i="29"/>
  <c r="H190" i="29"/>
  <c r="B191" i="29"/>
  <c r="F285" i="29"/>
  <c r="I190" i="29"/>
  <c r="C191" i="29"/>
  <c r="D287" i="29"/>
  <c r="L187" i="29"/>
  <c r="K228" i="29"/>
  <c r="K258" i="29" s="1"/>
  <c r="F188" i="29"/>
  <c r="F311" i="25"/>
  <c r="F285" i="25"/>
  <c r="H190" i="25"/>
  <c r="C231" i="25"/>
  <c r="C261" i="25"/>
  <c r="B314" i="25" s="1"/>
  <c r="D189" i="25"/>
  <c r="J188" i="25"/>
  <c r="H308" i="25"/>
  <c r="H282" i="25"/>
  <c r="B313" i="25"/>
  <c r="B287" i="25"/>
  <c r="C190" i="25"/>
  <c r="I189" i="25"/>
  <c r="E230" i="25" s="1"/>
  <c r="E260" i="25" s="1"/>
  <c r="D313" i="25" s="1"/>
  <c r="L185" i="25"/>
  <c r="K226" i="25" s="1"/>
  <c r="K256" i="25" s="1"/>
  <c r="J283" i="25"/>
  <c r="J309" i="25"/>
  <c r="K185" i="25"/>
  <c r="I226" i="25"/>
  <c r="I256" i="25"/>
  <c r="H309" i="25" s="1"/>
  <c r="E186" i="25"/>
  <c r="B289" i="21"/>
  <c r="F285" i="21"/>
  <c r="L184" i="21"/>
  <c r="K225" i="21"/>
  <c r="K255" i="21" s="1"/>
  <c r="J282" i="21"/>
  <c r="J308" i="21"/>
  <c r="J188" i="21"/>
  <c r="G229" i="21"/>
  <c r="G259" i="21" s="1"/>
  <c r="B193" i="21"/>
  <c r="H192" i="21"/>
  <c r="C233" i="21" s="1"/>
  <c r="C263" i="21" s="1"/>
  <c r="B316" i="21" s="1"/>
  <c r="D287" i="21"/>
  <c r="E187" i="21"/>
  <c r="K186" i="21"/>
  <c r="I227" i="21"/>
  <c r="I257" i="21" s="1"/>
  <c r="H310" i="21" s="1"/>
  <c r="I190" i="21"/>
  <c r="C191" i="21"/>
  <c r="C192" i="21" s="1"/>
  <c r="C193" i="21" s="1"/>
  <c r="C194" i="21" s="1"/>
  <c r="H283" i="21"/>
  <c r="D287" i="17"/>
  <c r="H190" i="17"/>
  <c r="C231" i="17"/>
  <c r="C261" i="17"/>
  <c r="B191" i="17"/>
  <c r="B192" i="17" s="1"/>
  <c r="B193" i="17" s="1"/>
  <c r="D189" i="17"/>
  <c r="J188" i="17"/>
  <c r="L184" i="17"/>
  <c r="K225" i="17" s="1"/>
  <c r="K255" i="17" s="1"/>
  <c r="J282" i="17"/>
  <c r="J308" i="17"/>
  <c r="F185" i="17"/>
  <c r="F186" i="17" s="1"/>
  <c r="F187" i="17" s="1"/>
  <c r="K187" i="17"/>
  <c r="C191" i="17"/>
  <c r="C192" i="17" s="1"/>
  <c r="C193" i="17" s="1"/>
  <c r="C194" i="17" s="1"/>
  <c r="I190" i="17"/>
  <c r="E231" i="17" s="1"/>
  <c r="E261" i="17" s="1"/>
  <c r="D314" i="17" s="1"/>
  <c r="B287" i="17"/>
  <c r="B287" i="13"/>
  <c r="D311" i="13"/>
  <c r="D285" i="13"/>
  <c r="J187" i="13"/>
  <c r="G228" i="13"/>
  <c r="G258" i="13"/>
  <c r="F311" i="13" s="1"/>
  <c r="F310" i="13"/>
  <c r="F284" i="13"/>
  <c r="B191" i="13"/>
  <c r="B192" i="13" s="1"/>
  <c r="B193" i="13" s="1"/>
  <c r="B194" i="13" s="1"/>
  <c r="H190" i="13"/>
  <c r="C231" i="13" s="1"/>
  <c r="C261" i="13" s="1"/>
  <c r="B314" i="13" s="1"/>
  <c r="I188" i="13"/>
  <c r="C189" i="13"/>
  <c r="C190" i="13" s="1"/>
  <c r="C191" i="13" s="1"/>
  <c r="C192" i="13" s="1"/>
  <c r="I189" i="9"/>
  <c r="E230" i="9"/>
  <c r="E260" i="9" s="1"/>
  <c r="L183" i="9"/>
  <c r="K224" i="9" s="1"/>
  <c r="K254" i="9" s="1"/>
  <c r="K185" i="9"/>
  <c r="I226" i="9"/>
  <c r="I256" i="9" s="1"/>
  <c r="B191" i="9"/>
  <c r="H190" i="9"/>
  <c r="C231" i="9" s="1"/>
  <c r="C261" i="9" s="1"/>
  <c r="B314" i="9" s="1"/>
  <c r="J187" i="9"/>
  <c r="G228" i="9"/>
  <c r="G258" i="9" s="1"/>
  <c r="J188" i="5"/>
  <c r="L186" i="5"/>
  <c r="K227" i="5" s="1"/>
  <c r="K257" i="5" s="1"/>
  <c r="I189" i="5"/>
  <c r="K187" i="5"/>
  <c r="I228" i="5" s="1"/>
  <c r="I258" i="5" s="1"/>
  <c r="H191" i="5"/>
  <c r="C232" i="5" s="1"/>
  <c r="C262" i="5" s="1"/>
  <c r="B315" i="5" s="1"/>
  <c r="H45" i="6"/>
  <c r="J44" i="6"/>
  <c r="C157" i="29"/>
  <c r="D157" i="29"/>
  <c r="F229" i="29"/>
  <c r="F259" i="29" s="1"/>
  <c r="D286" i="29"/>
  <c r="B286" i="29"/>
  <c r="F229" i="25"/>
  <c r="F259" i="25"/>
  <c r="E229" i="25"/>
  <c r="E259" i="25" s="1"/>
  <c r="D312" i="25" s="1"/>
  <c r="D286" i="25"/>
  <c r="D229" i="13"/>
  <c r="D259" i="13"/>
  <c r="B286" i="13"/>
  <c r="F229" i="5"/>
  <c r="F259" i="5" s="1"/>
  <c r="I227" i="17"/>
  <c r="I257" i="17"/>
  <c r="J285" i="29"/>
  <c r="J311" i="29" s="1"/>
  <c r="D159" i="29"/>
  <c r="D158" i="29"/>
  <c r="J310" i="29"/>
  <c r="C158" i="29"/>
  <c r="C159" i="29"/>
  <c r="D159" i="21"/>
  <c r="D158" i="21"/>
  <c r="D312" i="17"/>
  <c r="D286" i="17"/>
  <c r="H284" i="17"/>
  <c r="F229" i="17"/>
  <c r="F310" i="17"/>
  <c r="F284" i="17"/>
  <c r="B286" i="17"/>
  <c r="G228" i="17"/>
  <c r="G258" i="17" s="1"/>
  <c r="H228" i="17"/>
  <c r="F185" i="13"/>
  <c r="L184" i="13"/>
  <c r="K225" i="13" s="1"/>
  <c r="K255" i="13" s="1"/>
  <c r="J282" i="13"/>
  <c r="J308" i="13" s="1"/>
  <c r="H283" i="13"/>
  <c r="E187" i="13"/>
  <c r="K186" i="13"/>
  <c r="I227" i="13" s="1"/>
  <c r="I257" i="13" s="1"/>
  <c r="H310" i="13" s="1"/>
  <c r="B315" i="37"/>
  <c r="B193" i="37"/>
  <c r="B194" i="37" s="1"/>
  <c r="H194" i="37" s="1"/>
  <c r="C235" i="37" s="1"/>
  <c r="H192" i="37"/>
  <c r="C233" i="37" s="1"/>
  <c r="C263" i="37" s="1"/>
  <c r="B316" i="37" s="1"/>
  <c r="H191" i="29"/>
  <c r="B192" i="29"/>
  <c r="F189" i="29"/>
  <c r="F190" i="29" s="1"/>
  <c r="F191" i="29" s="1"/>
  <c r="L188" i="29"/>
  <c r="I191" i="29"/>
  <c r="C192" i="29"/>
  <c r="C193" i="29" s="1"/>
  <c r="C194" i="29" s="1"/>
  <c r="H285" i="29"/>
  <c r="D288" i="29"/>
  <c r="B288" i="29"/>
  <c r="D190" i="29"/>
  <c r="J189" i="29"/>
  <c r="G230" i="29" s="1"/>
  <c r="G260" i="29" s="1"/>
  <c r="F313" i="29" s="1"/>
  <c r="E189" i="29"/>
  <c r="E190" i="29" s="1"/>
  <c r="E191" i="29" s="1"/>
  <c r="E192" i="29" s="1"/>
  <c r="E193" i="29" s="1"/>
  <c r="E194" i="29" s="1"/>
  <c r="E195" i="29" s="1"/>
  <c r="E196" i="29" s="1"/>
  <c r="E197" i="29" s="1"/>
  <c r="E198" i="29" s="1"/>
  <c r="E199" i="29" s="1"/>
  <c r="E200" i="29" s="1"/>
  <c r="K188" i="29"/>
  <c r="L186" i="25"/>
  <c r="K227" i="25"/>
  <c r="K257" i="25"/>
  <c r="F187" i="25"/>
  <c r="F188" i="25" s="1"/>
  <c r="F189" i="25" s="1"/>
  <c r="H191" i="25"/>
  <c r="C232" i="25"/>
  <c r="C262" i="25"/>
  <c r="B315" i="25" s="1"/>
  <c r="B288" i="25"/>
  <c r="K186" i="25"/>
  <c r="I227" i="25"/>
  <c r="I257" i="25" s="1"/>
  <c r="H310" i="25" s="1"/>
  <c r="E187" i="25"/>
  <c r="D287" i="25"/>
  <c r="H283" i="25"/>
  <c r="C191" i="25"/>
  <c r="I190" i="25"/>
  <c r="D190" i="25"/>
  <c r="D191" i="25" s="1"/>
  <c r="D192" i="25" s="1"/>
  <c r="J189" i="25"/>
  <c r="G230" i="25" s="1"/>
  <c r="G260" i="25" s="1"/>
  <c r="F313" i="25" s="1"/>
  <c r="I191" i="21"/>
  <c r="E232" i="21" s="1"/>
  <c r="E262" i="21" s="1"/>
  <c r="F312" i="21"/>
  <c r="F286" i="21"/>
  <c r="J189" i="21"/>
  <c r="G230" i="21"/>
  <c r="G260" i="21"/>
  <c r="D288" i="21"/>
  <c r="H284" i="21"/>
  <c r="B290" i="21"/>
  <c r="K187" i="21"/>
  <c r="I228" i="21"/>
  <c r="I258" i="21" s="1"/>
  <c r="H311" i="21" s="1"/>
  <c r="E188" i="21"/>
  <c r="B194" i="21"/>
  <c r="B195" i="21" s="1"/>
  <c r="H193" i="21"/>
  <c r="C234" i="21" s="1"/>
  <c r="C264" i="21" s="1"/>
  <c r="B317" i="21" s="1"/>
  <c r="L185" i="21"/>
  <c r="K226" i="21" s="1"/>
  <c r="K256" i="21" s="1"/>
  <c r="J283" i="21"/>
  <c r="J309" i="21" s="1"/>
  <c r="K188" i="17"/>
  <c r="B314" i="17"/>
  <c r="B288" i="17"/>
  <c r="D190" i="17"/>
  <c r="J189" i="17"/>
  <c r="G230" i="17"/>
  <c r="G260" i="17" s="1"/>
  <c r="F313" i="17" s="1"/>
  <c r="I191" i="17"/>
  <c r="E232" i="17"/>
  <c r="E262" i="17"/>
  <c r="H191" i="17"/>
  <c r="C232" i="17"/>
  <c r="C262" i="17"/>
  <c r="B315" i="17" s="1"/>
  <c r="D288" i="17"/>
  <c r="L185" i="17"/>
  <c r="K226" i="17"/>
  <c r="K256" i="17" s="1"/>
  <c r="J283" i="17"/>
  <c r="J309" i="17"/>
  <c r="F285" i="13"/>
  <c r="J188" i="13"/>
  <c r="D189" i="13"/>
  <c r="D190" i="13" s="1"/>
  <c r="I189" i="13"/>
  <c r="E230" i="13"/>
  <c r="E260" i="13"/>
  <c r="D313" i="13" s="1"/>
  <c r="B288" i="13"/>
  <c r="H191" i="13"/>
  <c r="C232" i="13"/>
  <c r="C262" i="13" s="1"/>
  <c r="B315" i="13" s="1"/>
  <c r="B192" i="9"/>
  <c r="B193" i="9" s="1"/>
  <c r="B194" i="9" s="1"/>
  <c r="B195" i="9" s="1"/>
  <c r="B196" i="9" s="1"/>
  <c r="B197" i="9" s="1"/>
  <c r="H191" i="9"/>
  <c r="C232" i="9" s="1"/>
  <c r="C262" i="9" s="1"/>
  <c r="J188" i="9"/>
  <c r="G229" i="9"/>
  <c r="G259" i="9"/>
  <c r="K186" i="9"/>
  <c r="I227" i="9"/>
  <c r="I257" i="9"/>
  <c r="L184" i="9"/>
  <c r="K225" i="9" s="1"/>
  <c r="K255" i="9" s="1"/>
  <c r="I190" i="9"/>
  <c r="K188" i="5"/>
  <c r="J45" i="6"/>
  <c r="L187" i="5"/>
  <c r="K228" i="5"/>
  <c r="K258" i="5" s="1"/>
  <c r="H192" i="5"/>
  <c r="C233" i="5" s="1"/>
  <c r="C263" i="5" s="1"/>
  <c r="I190" i="5"/>
  <c r="E231" i="5" s="1"/>
  <c r="E261" i="5" s="1"/>
  <c r="J189" i="5"/>
  <c r="S190" i="2"/>
  <c r="S191" i="2"/>
  <c r="S192" i="2"/>
  <c r="S193" i="2"/>
  <c r="S194" i="2"/>
  <c r="S195" i="2"/>
  <c r="S196" i="2"/>
  <c r="S189" i="2"/>
  <c r="S186" i="2"/>
  <c r="S187" i="2"/>
  <c r="S188" i="2"/>
  <c r="S197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H229" i="29"/>
  <c r="J229" i="29"/>
  <c r="J259" i="29" s="1"/>
  <c r="C157" i="25"/>
  <c r="G229" i="25"/>
  <c r="G259" i="25" s="1"/>
  <c r="F312" i="25" s="1"/>
  <c r="F286" i="25"/>
  <c r="F286" i="17"/>
  <c r="F229" i="13"/>
  <c r="C157" i="13"/>
  <c r="E229" i="13"/>
  <c r="E259" i="13" s="1"/>
  <c r="D312" i="13" s="1"/>
  <c r="F46" i="6"/>
  <c r="H229" i="5"/>
  <c r="J284" i="25"/>
  <c r="E157" i="21"/>
  <c r="F285" i="17"/>
  <c r="H229" i="17"/>
  <c r="H259" i="17"/>
  <c r="D157" i="17"/>
  <c r="C157" i="17"/>
  <c r="L44" i="6"/>
  <c r="H284" i="13"/>
  <c r="E188" i="13"/>
  <c r="K187" i="13"/>
  <c r="I228" i="13"/>
  <c r="I258" i="13"/>
  <c r="H311" i="13" s="1"/>
  <c r="F186" i="13"/>
  <c r="F187" i="13" s="1"/>
  <c r="F188" i="13" s="1"/>
  <c r="L185" i="13"/>
  <c r="K226" i="13"/>
  <c r="K256" i="13"/>
  <c r="J283" i="13"/>
  <c r="J309" i="13" s="1"/>
  <c r="H193" i="37"/>
  <c r="C234" i="37" s="1"/>
  <c r="C264" i="37" s="1"/>
  <c r="B317" i="37" s="1"/>
  <c r="D191" i="29"/>
  <c r="J190" i="29"/>
  <c r="I192" i="29"/>
  <c r="F287" i="29"/>
  <c r="L189" i="29"/>
  <c r="J287" i="29"/>
  <c r="J313" i="29"/>
  <c r="H192" i="29"/>
  <c r="C233" i="29"/>
  <c r="C263" i="29" s="1"/>
  <c r="B316" i="29" s="1"/>
  <c r="B193" i="29"/>
  <c r="K189" i="29"/>
  <c r="I230" i="29"/>
  <c r="I260" i="29" s="1"/>
  <c r="H313" i="29" s="1"/>
  <c r="D289" i="29"/>
  <c r="B289" i="29"/>
  <c r="J190" i="25"/>
  <c r="G231" i="25"/>
  <c r="G261" i="25" s="1"/>
  <c r="F314" i="25" s="1"/>
  <c r="D288" i="25"/>
  <c r="K187" i="25"/>
  <c r="I228" i="25" s="1"/>
  <c r="I258" i="25" s="1"/>
  <c r="H311" i="25" s="1"/>
  <c r="E188" i="25"/>
  <c r="H192" i="25"/>
  <c r="C233" i="25" s="1"/>
  <c r="C263" i="25" s="1"/>
  <c r="B316" i="25" s="1"/>
  <c r="B193" i="25"/>
  <c r="C192" i="25"/>
  <c r="I191" i="25"/>
  <c r="E232" i="25"/>
  <c r="E262" i="25"/>
  <c r="H284" i="25"/>
  <c r="B289" i="25"/>
  <c r="F287" i="25"/>
  <c r="L187" i="25"/>
  <c r="K228" i="25"/>
  <c r="K258" i="25"/>
  <c r="H194" i="21"/>
  <c r="C235" i="21" s="1"/>
  <c r="C265" i="21" s="1"/>
  <c r="B318" i="21" s="1"/>
  <c r="B291" i="21"/>
  <c r="E189" i="21"/>
  <c r="E190" i="21" s="1"/>
  <c r="E191" i="21" s="1"/>
  <c r="E192" i="21" s="1"/>
  <c r="E193" i="21" s="1"/>
  <c r="E194" i="21" s="1"/>
  <c r="E195" i="21" s="1"/>
  <c r="E196" i="21" s="1"/>
  <c r="E197" i="21" s="1"/>
  <c r="E198" i="21" s="1"/>
  <c r="K188" i="21"/>
  <c r="I229" i="21"/>
  <c r="I259" i="21"/>
  <c r="H312" i="21" s="1"/>
  <c r="J190" i="21"/>
  <c r="D315" i="21"/>
  <c r="D289" i="21"/>
  <c r="L186" i="21"/>
  <c r="K227" i="21" s="1"/>
  <c r="K257" i="21" s="1"/>
  <c r="H285" i="21"/>
  <c r="F313" i="21"/>
  <c r="F287" i="21"/>
  <c r="I192" i="21"/>
  <c r="E233" i="21"/>
  <c r="E263" i="21" s="1"/>
  <c r="D316" i="21" s="1"/>
  <c r="L186" i="17"/>
  <c r="D315" i="17"/>
  <c r="D289" i="17"/>
  <c r="K189" i="17"/>
  <c r="I230" i="17"/>
  <c r="I260" i="17" s="1"/>
  <c r="H313" i="17" s="1"/>
  <c r="H192" i="17"/>
  <c r="C233" i="17"/>
  <c r="C263" i="17"/>
  <c r="B316" i="17" s="1"/>
  <c r="F287" i="17"/>
  <c r="B289" i="17"/>
  <c r="D191" i="17"/>
  <c r="J190" i="17"/>
  <c r="G231" i="17"/>
  <c r="G261" i="17" s="1"/>
  <c r="F314" i="17" s="1"/>
  <c r="I192" i="17"/>
  <c r="E233" i="17" s="1"/>
  <c r="E263" i="17" s="1"/>
  <c r="D316" i="17" s="1"/>
  <c r="H192" i="13"/>
  <c r="C233" i="13"/>
  <c r="C263" i="13" s="1"/>
  <c r="I190" i="13"/>
  <c r="E231" i="13"/>
  <c r="E261" i="13" s="1"/>
  <c r="D314" i="13" s="1"/>
  <c r="J189" i="13"/>
  <c r="G230" i="13"/>
  <c r="G260" i="13" s="1"/>
  <c r="F313" i="13" s="1"/>
  <c r="B289" i="13"/>
  <c r="D287" i="13"/>
  <c r="K187" i="9"/>
  <c r="I228" i="9"/>
  <c r="I258" i="9"/>
  <c r="L185" i="9"/>
  <c r="K226" i="9" s="1"/>
  <c r="K256" i="9" s="1"/>
  <c r="J189" i="9"/>
  <c r="G230" i="9" s="1"/>
  <c r="G260" i="9" s="1"/>
  <c r="B315" i="9"/>
  <c r="I191" i="9"/>
  <c r="E232" i="9" s="1"/>
  <c r="E262" i="9" s="1"/>
  <c r="H192" i="9"/>
  <c r="C233" i="9"/>
  <c r="C263" i="9"/>
  <c r="B316" i="9" s="1"/>
  <c r="H193" i="5"/>
  <c r="C234" i="5" s="1"/>
  <c r="C264" i="5" s="1"/>
  <c r="B317" i="5" s="1"/>
  <c r="I191" i="5"/>
  <c r="E232" i="5" s="1"/>
  <c r="E262" i="5" s="1"/>
  <c r="L188" i="5"/>
  <c r="K189" i="5"/>
  <c r="J190" i="5"/>
  <c r="G231" i="5"/>
  <c r="G261" i="5" s="1"/>
  <c r="S83" i="2"/>
  <c r="K229" i="29"/>
  <c r="K259" i="29" s="1"/>
  <c r="J286" i="29"/>
  <c r="J312" i="29"/>
  <c r="F286" i="29"/>
  <c r="D157" i="25"/>
  <c r="C159" i="25"/>
  <c r="C158" i="25"/>
  <c r="I229" i="17"/>
  <c r="I259" i="17" s="1"/>
  <c r="H312" i="17" s="1"/>
  <c r="C159" i="13"/>
  <c r="C158" i="13"/>
  <c r="D286" i="13"/>
  <c r="J229" i="5"/>
  <c r="J259" i="5" s="1"/>
  <c r="H46" i="6"/>
  <c r="J46" i="6"/>
  <c r="J285" i="25"/>
  <c r="J311" i="25" s="1"/>
  <c r="J310" i="25"/>
  <c r="J284" i="21"/>
  <c r="E159" i="21"/>
  <c r="E158" i="21"/>
  <c r="J227" i="17"/>
  <c r="D159" i="17"/>
  <c r="D158" i="17"/>
  <c r="C159" i="17"/>
  <c r="C158" i="17"/>
  <c r="H285" i="17"/>
  <c r="L45" i="6"/>
  <c r="H285" i="13"/>
  <c r="E189" i="13"/>
  <c r="K188" i="13"/>
  <c r="L186" i="13"/>
  <c r="K227" i="13" s="1"/>
  <c r="K257" i="13" s="1"/>
  <c r="B195" i="37"/>
  <c r="H195" i="37" s="1"/>
  <c r="C236" i="37" s="1"/>
  <c r="C265" i="37"/>
  <c r="B318" i="37" s="1"/>
  <c r="H287" i="29"/>
  <c r="L190" i="29"/>
  <c r="J288" i="29"/>
  <c r="J314" i="29" s="1"/>
  <c r="I193" i="29"/>
  <c r="E234" i="29"/>
  <c r="E264" i="29" s="1"/>
  <c r="H193" i="29"/>
  <c r="B194" i="29"/>
  <c r="B290" i="29"/>
  <c r="F288" i="29"/>
  <c r="K190" i="29"/>
  <c r="D290" i="29"/>
  <c r="D192" i="29"/>
  <c r="J191" i="29"/>
  <c r="H193" i="25"/>
  <c r="C234" i="25" s="1"/>
  <c r="C264" i="25" s="1"/>
  <c r="B194" i="25"/>
  <c r="B195" i="25" s="1"/>
  <c r="B290" i="25"/>
  <c r="L188" i="25"/>
  <c r="D315" i="25"/>
  <c r="D289" i="25"/>
  <c r="K188" i="25"/>
  <c r="E189" i="25"/>
  <c r="F288" i="25"/>
  <c r="C193" i="25"/>
  <c r="I192" i="25"/>
  <c r="H285" i="25"/>
  <c r="J191" i="25"/>
  <c r="G232" i="25"/>
  <c r="G262" i="25"/>
  <c r="J191" i="21"/>
  <c r="G232" i="21" s="1"/>
  <c r="G262" i="21" s="1"/>
  <c r="D192" i="21"/>
  <c r="D193" i="21" s="1"/>
  <c r="D194" i="21" s="1"/>
  <c r="D195" i="21" s="1"/>
  <c r="B292" i="21"/>
  <c r="L187" i="21"/>
  <c r="K228" i="21"/>
  <c r="K258" i="21" s="1"/>
  <c r="F288" i="21"/>
  <c r="I193" i="21"/>
  <c r="E234" i="21"/>
  <c r="E264" i="21"/>
  <c r="H286" i="21"/>
  <c r="D290" i="21"/>
  <c r="K189" i="21"/>
  <c r="I230" i="21" s="1"/>
  <c r="I260" i="21" s="1"/>
  <c r="B196" i="21"/>
  <c r="H195" i="21"/>
  <c r="C236" i="21"/>
  <c r="C266" i="21"/>
  <c r="B290" i="17"/>
  <c r="K190" i="17"/>
  <c r="I231" i="17"/>
  <c r="I261" i="17"/>
  <c r="D192" i="17"/>
  <c r="J191" i="17"/>
  <c r="G232" i="17" s="1"/>
  <c r="G262" i="17" s="1"/>
  <c r="F315" i="17" s="1"/>
  <c r="D290" i="17"/>
  <c r="H193" i="17"/>
  <c r="C234" i="17" s="1"/>
  <c r="C264" i="17" s="1"/>
  <c r="B194" i="17"/>
  <c r="B195" i="17" s="1"/>
  <c r="B196" i="17" s="1"/>
  <c r="B197" i="17" s="1"/>
  <c r="I193" i="17"/>
  <c r="E234" i="17"/>
  <c r="E264" i="17"/>
  <c r="F288" i="17"/>
  <c r="L187" i="17"/>
  <c r="F188" i="17"/>
  <c r="H287" i="17"/>
  <c r="F287" i="13"/>
  <c r="J190" i="13"/>
  <c r="G231" i="13" s="1"/>
  <c r="G261" i="13" s="1"/>
  <c r="D191" i="13"/>
  <c r="I191" i="13"/>
  <c r="E232" i="13" s="1"/>
  <c r="E262" i="13" s="1"/>
  <c r="B316" i="13"/>
  <c r="B290" i="13"/>
  <c r="D288" i="13"/>
  <c r="H193" i="13"/>
  <c r="C234" i="13" s="1"/>
  <c r="C264" i="13" s="1"/>
  <c r="B317" i="13" s="1"/>
  <c r="L186" i="9"/>
  <c r="K227" i="9"/>
  <c r="K257" i="9"/>
  <c r="J190" i="9"/>
  <c r="G231" i="9"/>
  <c r="G261" i="9" s="1"/>
  <c r="K188" i="9"/>
  <c r="I229" i="9"/>
  <c r="I259" i="9"/>
  <c r="H193" i="9"/>
  <c r="C234" i="9" s="1"/>
  <c r="C264" i="9" s="1"/>
  <c r="I192" i="9"/>
  <c r="E233" i="9"/>
  <c r="E263" i="9" s="1"/>
  <c r="I192" i="5"/>
  <c r="E233" i="5" s="1"/>
  <c r="E263" i="5" s="1"/>
  <c r="K190" i="5"/>
  <c r="I231" i="5" s="1"/>
  <c r="I261" i="5" s="1"/>
  <c r="J191" i="5"/>
  <c r="G232" i="5" s="1"/>
  <c r="G262" i="5" s="1"/>
  <c r="L189" i="5"/>
  <c r="K230" i="5" s="1"/>
  <c r="K260" i="5" s="1"/>
  <c r="H194" i="5"/>
  <c r="C235" i="5"/>
  <c r="C265" i="5" s="1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43" i="2"/>
  <c r="B42" i="2"/>
  <c r="B41" i="2"/>
  <c r="B40" i="2"/>
  <c r="B39" i="2"/>
  <c r="B38" i="2"/>
  <c r="B37" i="2"/>
  <c r="B36" i="2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18" i="1"/>
  <c r="B218" i="1" s="1"/>
  <c r="B248" i="1" s="1"/>
  <c r="S63" i="2"/>
  <c r="S75" i="2"/>
  <c r="S86" i="2"/>
  <c r="S123" i="2"/>
  <c r="S141" i="2" s="1"/>
  <c r="O35" i="2"/>
  <c r="P35" i="2"/>
  <c r="Q35" i="2"/>
  <c r="R35" i="2"/>
  <c r="N35" i="2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A178" i="1"/>
  <c r="A219" i="1"/>
  <c r="A249" i="1" s="1"/>
  <c r="A276" i="1" s="1"/>
  <c r="A302" i="1" s="1"/>
  <c r="A179" i="1"/>
  <c r="A220" i="1" s="1"/>
  <c r="A250" i="1" s="1"/>
  <c r="A277" i="1" s="1"/>
  <c r="A303" i="1"/>
  <c r="A180" i="1"/>
  <c r="A221" i="1"/>
  <c r="A251" i="1"/>
  <c r="A278" i="1" s="1"/>
  <c r="A304" i="1" s="1"/>
  <c r="A181" i="1"/>
  <c r="A222" i="1"/>
  <c r="A252" i="1"/>
  <c r="A279" i="1" s="1"/>
  <c r="A305" i="1" s="1"/>
  <c r="A182" i="1"/>
  <c r="A223" i="1" s="1"/>
  <c r="A253" i="1" s="1"/>
  <c r="A280" i="1" s="1"/>
  <c r="A306" i="1" s="1"/>
  <c r="A183" i="1"/>
  <c r="A224" i="1" s="1"/>
  <c r="A254" i="1" s="1"/>
  <c r="A281" i="1" s="1"/>
  <c r="A307" i="1" s="1"/>
  <c r="A184" i="1"/>
  <c r="A225" i="1"/>
  <c r="A255" i="1"/>
  <c r="A282" i="1"/>
  <c r="A308" i="1" s="1"/>
  <c r="A185" i="1"/>
  <c r="A226" i="1"/>
  <c r="A256" i="1" s="1"/>
  <c r="A283" i="1" s="1"/>
  <c r="A309" i="1" s="1"/>
  <c r="A186" i="1"/>
  <c r="A227" i="1"/>
  <c r="A257" i="1" s="1"/>
  <c r="A284" i="1" s="1"/>
  <c r="A310" i="1"/>
  <c r="A187" i="1"/>
  <c r="A228" i="1" s="1"/>
  <c r="A258" i="1" s="1"/>
  <c r="A285" i="1" s="1"/>
  <c r="A311" i="1"/>
  <c r="A188" i="1"/>
  <c r="A229" i="1"/>
  <c r="A259" i="1"/>
  <c r="A286" i="1" s="1"/>
  <c r="A312" i="1" s="1"/>
  <c r="A189" i="1"/>
  <c r="A230" i="1"/>
  <c r="A260" i="1"/>
  <c r="A287" i="1" s="1"/>
  <c r="A313" i="1" s="1"/>
  <c r="A190" i="1"/>
  <c r="A231" i="1" s="1"/>
  <c r="A261" i="1" s="1"/>
  <c r="A288" i="1" s="1"/>
  <c r="A314" i="1" s="1"/>
  <c r="A191" i="1"/>
  <c r="A232" i="1" s="1"/>
  <c r="A262" i="1" s="1"/>
  <c r="A289" i="1"/>
  <c r="A315" i="1" s="1"/>
  <c r="A192" i="1"/>
  <c r="A233" i="1"/>
  <c r="A263" i="1"/>
  <c r="A290" i="1"/>
  <c r="A316" i="1" s="1"/>
  <c r="A193" i="1"/>
  <c r="A234" i="1"/>
  <c r="A264" i="1" s="1"/>
  <c r="A291" i="1" s="1"/>
  <c r="A317" i="1" s="1"/>
  <c r="A194" i="1"/>
  <c r="A235" i="1"/>
  <c r="A265" i="1" s="1"/>
  <c r="A292" i="1" s="1"/>
  <c r="A318" i="1" s="1"/>
  <c r="A195" i="1"/>
  <c r="A236" i="1" s="1"/>
  <c r="A266" i="1" s="1"/>
  <c r="A293" i="1" s="1"/>
  <c r="A319" i="1"/>
  <c r="A196" i="1"/>
  <c r="A237" i="1"/>
  <c r="A267" i="1"/>
  <c r="A294" i="1" s="1"/>
  <c r="A320" i="1" s="1"/>
  <c r="A197" i="1"/>
  <c r="A238" i="1"/>
  <c r="A268" i="1"/>
  <c r="A295" i="1" s="1"/>
  <c r="A321" i="1" s="1"/>
  <c r="A198" i="1"/>
  <c r="A239" i="1" s="1"/>
  <c r="A269" i="1" s="1"/>
  <c r="A296" i="1" s="1"/>
  <c r="A322" i="1" s="1"/>
  <c r="A199" i="1"/>
  <c r="A240" i="1" s="1"/>
  <c r="A270" i="1" s="1"/>
  <c r="A297" i="1" s="1"/>
  <c r="A323" i="1" s="1"/>
  <c r="A200" i="1"/>
  <c r="A241" i="1"/>
  <c r="A271" i="1"/>
  <c r="A298" i="1"/>
  <c r="A324" i="1" s="1"/>
  <c r="A177" i="1"/>
  <c r="A218" i="1"/>
  <c r="A248" i="1" s="1"/>
  <c r="A275" i="1" s="1"/>
  <c r="A301" i="1" s="1"/>
  <c r="B161" i="1"/>
  <c r="A162" i="1"/>
  <c r="S202" i="2"/>
  <c r="S201" i="2"/>
  <c r="S200" i="2"/>
  <c r="S199" i="2"/>
  <c r="S198" i="2"/>
  <c r="S185" i="2"/>
  <c r="S183" i="2"/>
  <c r="S182" i="2"/>
  <c r="S181" i="2"/>
  <c r="S180" i="2"/>
  <c r="S179" i="2"/>
  <c r="S178" i="2"/>
  <c r="S177" i="2"/>
  <c r="S176" i="2"/>
  <c r="S174" i="2"/>
  <c r="S173" i="2"/>
  <c r="S172" i="2"/>
  <c r="S171" i="2"/>
  <c r="S170" i="2"/>
  <c r="I91" i="1"/>
  <c r="J91" i="1"/>
  <c r="K91" i="1"/>
  <c r="B140" i="1"/>
  <c r="B141" i="1"/>
  <c r="B142" i="1"/>
  <c r="B143" i="1"/>
  <c r="B144" i="1"/>
  <c r="B145" i="1"/>
  <c r="D145" i="1" s="1"/>
  <c r="H145" i="1" s="1"/>
  <c r="B146" i="1"/>
  <c r="B147" i="1"/>
  <c r="B148" i="1"/>
  <c r="B149" i="1"/>
  <c r="F149" i="1"/>
  <c r="B150" i="1"/>
  <c r="B151" i="1"/>
  <c r="D151" i="1" s="1"/>
  <c r="B152" i="1"/>
  <c r="B153" i="1"/>
  <c r="F153" i="1" s="1"/>
  <c r="B139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F127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17" i="1"/>
  <c r="A118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04" i="1"/>
  <c r="C91" i="1"/>
  <c r="D91" i="1"/>
  <c r="E91" i="1"/>
  <c r="F91" i="1"/>
  <c r="G91" i="1"/>
  <c r="H91" i="1"/>
  <c r="B91" i="1"/>
  <c r="S150" i="2"/>
  <c r="S149" i="2"/>
  <c r="S148" i="2"/>
  <c r="S147" i="2"/>
  <c r="S146" i="2"/>
  <c r="S151" i="2" s="1"/>
  <c r="S145" i="2"/>
  <c r="S144" i="2"/>
  <c r="S143" i="2"/>
  <c r="S142" i="2"/>
  <c r="S135" i="2"/>
  <c r="S136" i="2"/>
  <c r="S137" i="2"/>
  <c r="S138" i="2"/>
  <c r="S120" i="2"/>
  <c r="S119" i="2"/>
  <c r="S118" i="2"/>
  <c r="S117" i="2"/>
  <c r="S116" i="2"/>
  <c r="S88" i="2"/>
  <c r="S87" i="2"/>
  <c r="S82" i="2"/>
  <c r="S81" i="2"/>
  <c r="S80" i="2"/>
  <c r="S84" i="2" s="1"/>
  <c r="S79" i="2"/>
  <c r="S78" i="2"/>
  <c r="S77" i="2"/>
  <c r="S76" i="2"/>
  <c r="S64" i="2"/>
  <c r="S66" i="2"/>
  <c r="S65" i="2"/>
  <c r="S68" i="2"/>
  <c r="S73" i="2" s="1"/>
  <c r="S67" i="2"/>
  <c r="S69" i="2"/>
  <c r="S71" i="2"/>
  <c r="S70" i="2"/>
  <c r="S72" i="2"/>
  <c r="E157" i="17"/>
  <c r="E157" i="29"/>
  <c r="H286" i="29"/>
  <c r="H229" i="25"/>
  <c r="H259" i="25"/>
  <c r="J229" i="25"/>
  <c r="J259" i="25" s="1"/>
  <c r="D158" i="25"/>
  <c r="D159" i="25"/>
  <c r="E157" i="25"/>
  <c r="H286" i="17"/>
  <c r="D157" i="13"/>
  <c r="F286" i="13"/>
  <c r="H229" i="13"/>
  <c r="H259" i="13"/>
  <c r="K229" i="5"/>
  <c r="K259" i="5" s="1"/>
  <c r="G157" i="29"/>
  <c r="F157" i="21"/>
  <c r="J310" i="21"/>
  <c r="J285" i="21"/>
  <c r="E159" i="17"/>
  <c r="E158" i="17"/>
  <c r="J228" i="17"/>
  <c r="J258" i="17" s="1"/>
  <c r="J284" i="13"/>
  <c r="J310" i="13" s="1"/>
  <c r="E190" i="13"/>
  <c r="K189" i="13"/>
  <c r="I230" i="13"/>
  <c r="I260" i="13"/>
  <c r="L187" i="13"/>
  <c r="K228" i="13"/>
  <c r="K258" i="13"/>
  <c r="B196" i="37"/>
  <c r="C266" i="37"/>
  <c r="B291" i="29"/>
  <c r="F289" i="29"/>
  <c r="H288" i="29"/>
  <c r="H194" i="29"/>
  <c r="B195" i="29"/>
  <c r="L191" i="29"/>
  <c r="J289" i="29"/>
  <c r="J315" i="29"/>
  <c r="F192" i="29"/>
  <c r="I194" i="29"/>
  <c r="E235" i="29"/>
  <c r="E265" i="29" s="1"/>
  <c r="D318" i="29" s="1"/>
  <c r="C195" i="29"/>
  <c r="C196" i="29" s="1"/>
  <c r="C197" i="29" s="1"/>
  <c r="D193" i="29"/>
  <c r="J192" i="29"/>
  <c r="G233" i="29"/>
  <c r="G263" i="29" s="1"/>
  <c r="F316" i="29" s="1"/>
  <c r="K191" i="29"/>
  <c r="I232" i="29" s="1"/>
  <c r="I262" i="29" s="1"/>
  <c r="H315" i="29" s="1"/>
  <c r="D317" i="29"/>
  <c r="D291" i="29"/>
  <c r="F315" i="25"/>
  <c r="F289" i="25"/>
  <c r="D290" i="25"/>
  <c r="K189" i="25"/>
  <c r="I230" i="25"/>
  <c r="I260" i="25" s="1"/>
  <c r="E190" i="25"/>
  <c r="L189" i="25"/>
  <c r="K230" i="25" s="1"/>
  <c r="K260" i="25" s="1"/>
  <c r="J287" i="25"/>
  <c r="J313" i="25" s="1"/>
  <c r="F190" i="25"/>
  <c r="F191" i="25" s="1"/>
  <c r="F192" i="25" s="1"/>
  <c r="H194" i="25"/>
  <c r="C235" i="25"/>
  <c r="C265" i="25"/>
  <c r="B318" i="25" s="1"/>
  <c r="D193" i="25"/>
  <c r="J192" i="25"/>
  <c r="G233" i="25" s="1"/>
  <c r="G263" i="25" s="1"/>
  <c r="F316" i="25" s="1"/>
  <c r="C194" i="25"/>
  <c r="I193" i="25"/>
  <c r="E234" i="25"/>
  <c r="E264" i="25" s="1"/>
  <c r="B317" i="25"/>
  <c r="B291" i="25"/>
  <c r="K190" i="21"/>
  <c r="J192" i="21"/>
  <c r="G233" i="21" s="1"/>
  <c r="G263" i="21" s="1"/>
  <c r="F316" i="21" s="1"/>
  <c r="H313" i="21"/>
  <c r="H287" i="21"/>
  <c r="B319" i="21"/>
  <c r="B293" i="21"/>
  <c r="D317" i="21"/>
  <c r="D291" i="21"/>
  <c r="B197" i="21"/>
  <c r="H196" i="21"/>
  <c r="C237" i="21" s="1"/>
  <c r="C267" i="21" s="1"/>
  <c r="B320" i="21" s="1"/>
  <c r="I194" i="21"/>
  <c r="C195" i="21"/>
  <c r="F189" i="21"/>
  <c r="L188" i="21"/>
  <c r="K229" i="21" s="1"/>
  <c r="K259" i="21" s="1"/>
  <c r="F315" i="21"/>
  <c r="F289" i="21"/>
  <c r="C195" i="17"/>
  <c r="C196" i="17" s="1"/>
  <c r="C197" i="17" s="1"/>
  <c r="C198" i="17" s="1"/>
  <c r="C199" i="17" s="1"/>
  <c r="I194" i="17"/>
  <c r="H314" i="17"/>
  <c r="H288" i="17"/>
  <c r="H194" i="17"/>
  <c r="C235" i="17"/>
  <c r="C265" i="17"/>
  <c r="L188" i="17"/>
  <c r="F189" i="17"/>
  <c r="D317" i="17"/>
  <c r="D291" i="17"/>
  <c r="K191" i="17"/>
  <c r="I232" i="17"/>
  <c r="I262" i="17"/>
  <c r="H315" i="17" s="1"/>
  <c r="E192" i="17"/>
  <c r="F289" i="17"/>
  <c r="B317" i="17"/>
  <c r="B291" i="17"/>
  <c r="D193" i="17"/>
  <c r="J192" i="17"/>
  <c r="G233" i="17"/>
  <c r="G263" i="17" s="1"/>
  <c r="F316" i="17" s="1"/>
  <c r="D315" i="13"/>
  <c r="D289" i="13"/>
  <c r="B195" i="13"/>
  <c r="H194" i="13"/>
  <c r="C235" i="13" s="1"/>
  <c r="C265" i="13" s="1"/>
  <c r="B318" i="13" s="1"/>
  <c r="I192" i="13"/>
  <c r="E233" i="13" s="1"/>
  <c r="E263" i="13" s="1"/>
  <c r="C193" i="13"/>
  <c r="D192" i="13"/>
  <c r="J191" i="13"/>
  <c r="G232" i="13" s="1"/>
  <c r="G262" i="13" s="1"/>
  <c r="F315" i="13" s="1"/>
  <c r="F314" i="13"/>
  <c r="F288" i="13"/>
  <c r="B291" i="13"/>
  <c r="H194" i="9"/>
  <c r="C235" i="9" s="1"/>
  <c r="C265" i="9" s="1"/>
  <c r="B318" i="9" s="1"/>
  <c r="J191" i="9"/>
  <c r="G232" i="9"/>
  <c r="G262" i="9" s="1"/>
  <c r="K189" i="9"/>
  <c r="I230" i="9" s="1"/>
  <c r="I260" i="9" s="1"/>
  <c r="B317" i="9"/>
  <c r="I193" i="9"/>
  <c r="E234" i="9"/>
  <c r="E264" i="9" s="1"/>
  <c r="L187" i="9"/>
  <c r="K228" i="9" s="1"/>
  <c r="K258" i="9" s="1"/>
  <c r="J192" i="5"/>
  <c r="H195" i="5"/>
  <c r="C236" i="5" s="1"/>
  <c r="C266" i="5" s="1"/>
  <c r="B319" i="5" s="1"/>
  <c r="K191" i="5"/>
  <c r="I232" i="5" s="1"/>
  <c r="I262" i="5" s="1"/>
  <c r="L190" i="5"/>
  <c r="K231" i="5" s="1"/>
  <c r="K261" i="5" s="1"/>
  <c r="I193" i="5"/>
  <c r="E234" i="5" s="1"/>
  <c r="E264" i="5" s="1"/>
  <c r="Q152" i="2"/>
  <c r="P152" i="2"/>
  <c r="R152" i="2"/>
  <c r="F151" i="1"/>
  <c r="H151" i="1" s="1"/>
  <c r="C151" i="1"/>
  <c r="C145" i="1"/>
  <c r="F145" i="1"/>
  <c r="E140" i="1"/>
  <c r="C149" i="1"/>
  <c r="G141" i="1"/>
  <c r="C147" i="1"/>
  <c r="G153" i="1"/>
  <c r="D148" i="1"/>
  <c r="H148" i="1" s="1"/>
  <c r="F144" i="1"/>
  <c r="G140" i="1"/>
  <c r="C141" i="1"/>
  <c r="H141" i="1" s="1"/>
  <c r="D141" i="1"/>
  <c r="E149" i="1"/>
  <c r="D149" i="1"/>
  <c r="G144" i="1"/>
  <c r="D144" i="1"/>
  <c r="H144" i="1" s="1"/>
  <c r="F150" i="1"/>
  <c r="F148" i="1"/>
  <c r="E130" i="1"/>
  <c r="H130" i="1" s="1"/>
  <c r="G151" i="1"/>
  <c r="E133" i="1"/>
  <c r="E142" i="1"/>
  <c r="E132" i="1"/>
  <c r="C144" i="1"/>
  <c r="E148" i="1"/>
  <c r="E144" i="1"/>
  <c r="E139" i="1"/>
  <c r="E151" i="1"/>
  <c r="G133" i="1"/>
  <c r="G128" i="1"/>
  <c r="F133" i="1"/>
  <c r="C148" i="1"/>
  <c r="G148" i="1"/>
  <c r="F140" i="1"/>
  <c r="F154" i="1" s="1"/>
  <c r="G139" i="1"/>
  <c r="D150" i="1"/>
  <c r="E143" i="1"/>
  <c r="C143" i="1"/>
  <c r="G143" i="1"/>
  <c r="E124" i="1"/>
  <c r="F152" i="1"/>
  <c r="G152" i="1"/>
  <c r="C152" i="1"/>
  <c r="D152" i="1"/>
  <c r="C146" i="1"/>
  <c r="C142" i="1"/>
  <c r="G142" i="1"/>
  <c r="B4" i="1"/>
  <c r="G150" i="1"/>
  <c r="H150" i="1" s="1"/>
  <c r="F147" i="1"/>
  <c r="F146" i="1"/>
  <c r="E141" i="1"/>
  <c r="E150" i="1"/>
  <c r="G149" i="1"/>
  <c r="E152" i="1"/>
  <c r="E129" i="1"/>
  <c r="F129" i="1"/>
  <c r="F143" i="1"/>
  <c r="F125" i="1"/>
  <c r="H125" i="1" s="1"/>
  <c r="F141" i="1"/>
  <c r="G123" i="1"/>
  <c r="E134" i="1"/>
  <c r="F134" i="1"/>
  <c r="G134" i="1"/>
  <c r="F130" i="1"/>
  <c r="G130" i="1"/>
  <c r="F126" i="1"/>
  <c r="H126" i="1" s="1"/>
  <c r="E126" i="1"/>
  <c r="G126" i="1"/>
  <c r="G129" i="1"/>
  <c r="E128" i="1"/>
  <c r="F128" i="1"/>
  <c r="H128" i="1" s="1"/>
  <c r="F124" i="1"/>
  <c r="G125" i="1"/>
  <c r="D143" i="1"/>
  <c r="E125" i="1"/>
  <c r="G131" i="1"/>
  <c r="H131" i="1" s="1"/>
  <c r="E131" i="1"/>
  <c r="F131" i="1"/>
  <c r="E127" i="1"/>
  <c r="H127" i="1" s="1"/>
  <c r="G127" i="1"/>
  <c r="F123" i="1"/>
  <c r="E123" i="1"/>
  <c r="E146" i="1"/>
  <c r="G146" i="1"/>
  <c r="H146" i="1" s="1"/>
  <c r="D146" i="1"/>
  <c r="D142" i="1"/>
  <c r="F142" i="1"/>
  <c r="G132" i="1"/>
  <c r="F139" i="1"/>
  <c r="F132" i="1"/>
  <c r="G124" i="1"/>
  <c r="E153" i="1"/>
  <c r="C153" i="1"/>
  <c r="C150" i="1"/>
  <c r="E147" i="1"/>
  <c r="G147" i="1"/>
  <c r="H147" i="1" s="1"/>
  <c r="D147" i="1"/>
  <c r="E145" i="1"/>
  <c r="G145" i="1"/>
  <c r="K228" i="17"/>
  <c r="K258" i="17" s="1"/>
  <c r="J285" i="17"/>
  <c r="J311" i="17" s="1"/>
  <c r="F157" i="29"/>
  <c r="E158" i="29"/>
  <c r="E159" i="29"/>
  <c r="E159" i="25"/>
  <c r="E158" i="25"/>
  <c r="K229" i="25"/>
  <c r="K259" i="25" s="1"/>
  <c r="I229" i="25"/>
  <c r="I259" i="25" s="1"/>
  <c r="H312" i="25" s="1"/>
  <c r="H286" i="25"/>
  <c r="F157" i="17"/>
  <c r="F158" i="17"/>
  <c r="I229" i="13"/>
  <c r="I259" i="13" s="1"/>
  <c r="H312" i="13" s="1"/>
  <c r="E157" i="13"/>
  <c r="D159" i="13"/>
  <c r="D158" i="13"/>
  <c r="L46" i="6"/>
  <c r="G158" i="29"/>
  <c r="G159" i="29"/>
  <c r="J286" i="21"/>
  <c r="F158" i="21"/>
  <c r="F159" i="21"/>
  <c r="J311" i="21"/>
  <c r="J229" i="17"/>
  <c r="J259" i="17"/>
  <c r="J284" i="17"/>
  <c r="J285" i="13"/>
  <c r="H313" i="13"/>
  <c r="H287" i="13"/>
  <c r="E191" i="13"/>
  <c r="K190" i="13"/>
  <c r="I231" i="13" s="1"/>
  <c r="I261" i="13"/>
  <c r="F189" i="13"/>
  <c r="L188" i="13"/>
  <c r="H177" i="1"/>
  <c r="C218" i="1" s="1"/>
  <c r="C248" i="1" s="1"/>
  <c r="B197" i="37"/>
  <c r="H196" i="37"/>
  <c r="C237" i="37" s="1"/>
  <c r="C267" i="37" s="1"/>
  <c r="B320" i="37" s="1"/>
  <c r="B319" i="37"/>
  <c r="K192" i="29"/>
  <c r="B292" i="29"/>
  <c r="F290" i="29"/>
  <c r="F193" i="29"/>
  <c r="L192" i="29"/>
  <c r="K233" i="29"/>
  <c r="K263" i="29" s="1"/>
  <c r="J290" i="29"/>
  <c r="J316" i="29"/>
  <c r="H289" i="29"/>
  <c r="I195" i="29"/>
  <c r="E236" i="29"/>
  <c r="E266" i="29"/>
  <c r="H195" i="29"/>
  <c r="C236" i="29"/>
  <c r="C266" i="29" s="1"/>
  <c r="B196" i="29"/>
  <c r="B197" i="29" s="1"/>
  <c r="B198" i="29" s="1"/>
  <c r="B199" i="29" s="1"/>
  <c r="D292" i="29"/>
  <c r="D194" i="29"/>
  <c r="D195" i="29" s="1"/>
  <c r="J193" i="29"/>
  <c r="F290" i="25"/>
  <c r="L190" i="25"/>
  <c r="K231" i="25"/>
  <c r="K261" i="25"/>
  <c r="J288" i="25"/>
  <c r="J314" i="25" s="1"/>
  <c r="D194" i="25"/>
  <c r="J193" i="25"/>
  <c r="G234" i="25" s="1"/>
  <c r="G264" i="25" s="1"/>
  <c r="D317" i="25"/>
  <c r="D291" i="25"/>
  <c r="H195" i="25"/>
  <c r="C236" i="25"/>
  <c r="C266" i="25" s="1"/>
  <c r="B319" i="25" s="1"/>
  <c r="B196" i="25"/>
  <c r="B197" i="25" s="1"/>
  <c r="K190" i="25"/>
  <c r="E191" i="25"/>
  <c r="C195" i="25"/>
  <c r="I194" i="25"/>
  <c r="E235" i="25" s="1"/>
  <c r="E265" i="25"/>
  <c r="D318" i="25" s="1"/>
  <c r="B292" i="25"/>
  <c r="H313" i="25"/>
  <c r="H287" i="25"/>
  <c r="F190" i="21"/>
  <c r="L189" i="21"/>
  <c r="K230" i="21" s="1"/>
  <c r="K260" i="21"/>
  <c r="J287" i="21"/>
  <c r="J313" i="21"/>
  <c r="B198" i="21"/>
  <c r="B199" i="21" s="1"/>
  <c r="B200" i="21" s="1"/>
  <c r="H197" i="21"/>
  <c r="C238" i="21" s="1"/>
  <c r="C268" i="21" s="1"/>
  <c r="B321" i="21" s="1"/>
  <c r="F290" i="21"/>
  <c r="B294" i="21"/>
  <c r="J193" i="21"/>
  <c r="C196" i="21"/>
  <c r="I195" i="21"/>
  <c r="E236" i="21" s="1"/>
  <c r="E266" i="21" s="1"/>
  <c r="H288" i="21"/>
  <c r="D292" i="21"/>
  <c r="K191" i="21"/>
  <c r="K192" i="17"/>
  <c r="E193" i="17"/>
  <c r="L189" i="17"/>
  <c r="K230" i="17"/>
  <c r="K260" i="17" s="1"/>
  <c r="J287" i="17"/>
  <c r="J313" i="17"/>
  <c r="F190" i="17"/>
  <c r="H289" i="17"/>
  <c r="F290" i="17"/>
  <c r="H195" i="17"/>
  <c r="C236" i="17"/>
  <c r="C266" i="17"/>
  <c r="B319" i="17" s="1"/>
  <c r="D292" i="17"/>
  <c r="D194" i="17"/>
  <c r="J193" i="17"/>
  <c r="G234" i="17" s="1"/>
  <c r="G264" i="17" s="1"/>
  <c r="F317" i="17" s="1"/>
  <c r="B318" i="17"/>
  <c r="B292" i="17"/>
  <c r="I195" i="17"/>
  <c r="E236" i="17" s="1"/>
  <c r="E266" i="17" s="1"/>
  <c r="D319" i="17" s="1"/>
  <c r="B292" i="13"/>
  <c r="D316" i="13"/>
  <c r="D290" i="13"/>
  <c r="H195" i="13"/>
  <c r="C236" i="13"/>
  <c r="C266" i="13" s="1"/>
  <c r="B196" i="13"/>
  <c r="F289" i="13"/>
  <c r="I193" i="13"/>
  <c r="E234" i="13" s="1"/>
  <c r="E264" i="13" s="1"/>
  <c r="D317" i="13" s="1"/>
  <c r="C194" i="13"/>
  <c r="J192" i="13"/>
  <c r="G233" i="13"/>
  <c r="G263" i="13" s="1"/>
  <c r="F316" i="13" s="1"/>
  <c r="D193" i="13"/>
  <c r="K190" i="9"/>
  <c r="I231" i="9"/>
  <c r="I261" i="9" s="1"/>
  <c r="J192" i="9"/>
  <c r="G233" i="9"/>
  <c r="G263" i="9"/>
  <c r="L188" i="9"/>
  <c r="K229" i="9" s="1"/>
  <c r="K259" i="9" s="1"/>
  <c r="I194" i="9"/>
  <c r="H195" i="9"/>
  <c r="C236" i="9" s="1"/>
  <c r="C266" i="9"/>
  <c r="B319" i="9" s="1"/>
  <c r="J193" i="5"/>
  <c r="G234" i="5" s="1"/>
  <c r="G264" i="5" s="1"/>
  <c r="L191" i="5"/>
  <c r="K232" i="5" s="1"/>
  <c r="K262" i="5" s="1"/>
  <c r="H196" i="5"/>
  <c r="I194" i="5"/>
  <c r="E235" i="5" s="1"/>
  <c r="E265" i="5" s="1"/>
  <c r="K192" i="5"/>
  <c r="B97" i="1"/>
  <c r="H133" i="1"/>
  <c r="H129" i="1"/>
  <c r="H152" i="1"/>
  <c r="H143" i="1"/>
  <c r="H123" i="1"/>
  <c r="H124" i="1"/>
  <c r="J286" i="25"/>
  <c r="J312" i="25"/>
  <c r="H157" i="29"/>
  <c r="F159" i="29"/>
  <c r="H159" i="29"/>
  <c r="F158" i="29"/>
  <c r="H158" i="29"/>
  <c r="F157" i="25"/>
  <c r="F159" i="17"/>
  <c r="J229" i="13"/>
  <c r="J259" i="13"/>
  <c r="E158" i="13"/>
  <c r="E159" i="13"/>
  <c r="H286" i="13"/>
  <c r="J312" i="21"/>
  <c r="J310" i="17"/>
  <c r="K229" i="17"/>
  <c r="K259" i="17" s="1"/>
  <c r="J311" i="13"/>
  <c r="H314" i="13"/>
  <c r="H288" i="13"/>
  <c r="E192" i="13"/>
  <c r="K191" i="13"/>
  <c r="I232" i="13" s="1"/>
  <c r="I262" i="13"/>
  <c r="H315" i="13" s="1"/>
  <c r="F190" i="13"/>
  <c r="L189" i="13"/>
  <c r="K230" i="13"/>
  <c r="K260" i="13" s="1"/>
  <c r="J287" i="13"/>
  <c r="J313" i="13"/>
  <c r="B198" i="37"/>
  <c r="H197" i="37"/>
  <c r="C238" i="37"/>
  <c r="C268" i="37" s="1"/>
  <c r="B321" i="37" s="1"/>
  <c r="F291" i="29"/>
  <c r="H290" i="29"/>
  <c r="I196" i="29"/>
  <c r="E237" i="29"/>
  <c r="E267" i="29" s="1"/>
  <c r="D320" i="29" s="1"/>
  <c r="D319" i="29"/>
  <c r="D293" i="29"/>
  <c r="L193" i="29"/>
  <c r="J291" i="29"/>
  <c r="J317" i="29" s="1"/>
  <c r="F194" i="29"/>
  <c r="H196" i="29"/>
  <c r="C237" i="29" s="1"/>
  <c r="C267" i="29" s="1"/>
  <c r="B320" i="29" s="1"/>
  <c r="J194" i="29"/>
  <c r="B319" i="29"/>
  <c r="B293" i="29"/>
  <c r="K193" i="29"/>
  <c r="I234" i="29" s="1"/>
  <c r="I264" i="29"/>
  <c r="H317" i="29" s="1"/>
  <c r="K191" i="25"/>
  <c r="I232" i="25"/>
  <c r="I262" i="25"/>
  <c r="H315" i="25" s="1"/>
  <c r="E192" i="25"/>
  <c r="L191" i="25"/>
  <c r="K232" i="25"/>
  <c r="K262" i="25" s="1"/>
  <c r="J289" i="25"/>
  <c r="J315" i="25" s="1"/>
  <c r="H288" i="25"/>
  <c r="D292" i="25"/>
  <c r="H196" i="25"/>
  <c r="C237" i="25"/>
  <c r="C267" i="25" s="1"/>
  <c r="F317" i="25"/>
  <c r="F291" i="25"/>
  <c r="C196" i="25"/>
  <c r="I195" i="25"/>
  <c r="E236" i="25" s="1"/>
  <c r="E266" i="25" s="1"/>
  <c r="D319" i="25" s="1"/>
  <c r="B293" i="25"/>
  <c r="D195" i="25"/>
  <c r="J194" i="25"/>
  <c r="G235" i="25" s="1"/>
  <c r="G265" i="25" s="1"/>
  <c r="F318" i="25" s="1"/>
  <c r="K192" i="21"/>
  <c r="I233" i="21" s="1"/>
  <c r="I263" i="21" s="1"/>
  <c r="H316" i="21" s="1"/>
  <c r="D319" i="21"/>
  <c r="D293" i="21"/>
  <c r="B295" i="21"/>
  <c r="I196" i="21"/>
  <c r="E237" i="21"/>
  <c r="E267" i="21" s="1"/>
  <c r="D320" i="21" s="1"/>
  <c r="C197" i="21"/>
  <c r="H198" i="21"/>
  <c r="C239" i="21" s="1"/>
  <c r="C269" i="21" s="1"/>
  <c r="J194" i="21"/>
  <c r="G235" i="21"/>
  <c r="G265" i="21" s="1"/>
  <c r="F318" i="21" s="1"/>
  <c r="H289" i="21"/>
  <c r="F291" i="21"/>
  <c r="F191" i="21"/>
  <c r="L190" i="21"/>
  <c r="J288" i="21"/>
  <c r="J314" i="21" s="1"/>
  <c r="F291" i="17"/>
  <c r="K193" i="17"/>
  <c r="I234" i="17"/>
  <c r="I264" i="17" s="1"/>
  <c r="H317" i="17" s="1"/>
  <c r="E194" i="17"/>
  <c r="L190" i="17"/>
  <c r="K231" i="17" s="1"/>
  <c r="K261" i="17" s="1"/>
  <c r="J288" i="17"/>
  <c r="J314" i="17" s="1"/>
  <c r="F191" i="17"/>
  <c r="F192" i="17" s="1"/>
  <c r="F193" i="17" s="1"/>
  <c r="F194" i="17" s="1"/>
  <c r="D293" i="17"/>
  <c r="H196" i="17"/>
  <c r="C237" i="17" s="1"/>
  <c r="C267" i="17" s="1"/>
  <c r="B320" i="17" s="1"/>
  <c r="I196" i="17"/>
  <c r="E237" i="17" s="1"/>
  <c r="E267" i="17" s="1"/>
  <c r="D195" i="17"/>
  <c r="D196" i="17" s="1"/>
  <c r="D197" i="17" s="1"/>
  <c r="D198" i="17" s="1"/>
  <c r="D199" i="17" s="1"/>
  <c r="D200" i="17" s="1"/>
  <c r="J194" i="17"/>
  <c r="G235" i="17" s="1"/>
  <c r="G265" i="17" s="1"/>
  <c r="B293" i="17"/>
  <c r="H290" i="17"/>
  <c r="D194" i="13"/>
  <c r="D195" i="13" s="1"/>
  <c r="D196" i="13" s="1"/>
  <c r="J193" i="13"/>
  <c r="G234" i="13" s="1"/>
  <c r="G264" i="13" s="1"/>
  <c r="F317" i="13" s="1"/>
  <c r="I194" i="13"/>
  <c r="E235" i="13"/>
  <c r="E265" i="13" s="1"/>
  <c r="C195" i="13"/>
  <c r="B197" i="13"/>
  <c r="H196" i="13"/>
  <c r="C237" i="13" s="1"/>
  <c r="C267" i="13" s="1"/>
  <c r="B320" i="13" s="1"/>
  <c r="F290" i="13"/>
  <c r="D291" i="13"/>
  <c r="B319" i="13"/>
  <c r="B293" i="13"/>
  <c r="K191" i="9"/>
  <c r="I232" i="9"/>
  <c r="I262" i="9" s="1"/>
  <c r="I195" i="9"/>
  <c r="E236" i="9" s="1"/>
  <c r="E266" i="9" s="1"/>
  <c r="J193" i="9"/>
  <c r="G234" i="9" s="1"/>
  <c r="G264" i="9" s="1"/>
  <c r="H196" i="9"/>
  <c r="C237" i="9" s="1"/>
  <c r="C267" i="9" s="1"/>
  <c r="B320" i="9" s="1"/>
  <c r="L189" i="9"/>
  <c r="K230" i="9" s="1"/>
  <c r="K260" i="9" s="1"/>
  <c r="K193" i="5"/>
  <c r="I234" i="5" s="1"/>
  <c r="I264" i="5" s="1"/>
  <c r="I195" i="5"/>
  <c r="E236" i="5"/>
  <c r="E266" i="5" s="1"/>
  <c r="J194" i="5"/>
  <c r="G235" i="5" s="1"/>
  <c r="G265" i="5" s="1"/>
  <c r="H197" i="5"/>
  <c r="C238" i="5" s="1"/>
  <c r="C268" i="5" s="1"/>
  <c r="B321" i="5" s="1"/>
  <c r="L192" i="5"/>
  <c r="F157" i="13"/>
  <c r="K229" i="13"/>
  <c r="K259" i="13"/>
  <c r="G157" i="25"/>
  <c r="J286" i="17"/>
  <c r="H289" i="13"/>
  <c r="K192" i="13"/>
  <c r="I233" i="13"/>
  <c r="I263" i="13" s="1"/>
  <c r="H316" i="13" s="1"/>
  <c r="E193" i="13"/>
  <c r="F191" i="13"/>
  <c r="L190" i="13"/>
  <c r="K231" i="13"/>
  <c r="K261" i="13" s="1"/>
  <c r="J288" i="13"/>
  <c r="J314" i="13"/>
  <c r="B199" i="37"/>
  <c r="H198" i="37"/>
  <c r="C239" i="37"/>
  <c r="C269" i="37" s="1"/>
  <c r="H291" i="29"/>
  <c r="H197" i="29"/>
  <c r="C238" i="29"/>
  <c r="C268" i="29" s="1"/>
  <c r="B321" i="29" s="1"/>
  <c r="B294" i="29"/>
  <c r="F292" i="29"/>
  <c r="F195" i="29"/>
  <c r="F196" i="29" s="1"/>
  <c r="F197" i="29" s="1"/>
  <c r="L194" i="29"/>
  <c r="K235" i="29" s="1"/>
  <c r="K265" i="29" s="1"/>
  <c r="J292" i="29"/>
  <c r="J318" i="29" s="1"/>
  <c r="I197" i="29"/>
  <c r="E238" i="29" s="1"/>
  <c r="E268" i="29" s="1"/>
  <c r="C198" i="29"/>
  <c r="C199" i="29" s="1"/>
  <c r="C200" i="29" s="1"/>
  <c r="K194" i="29"/>
  <c r="I235" i="29"/>
  <c r="I265" i="29" s="1"/>
  <c r="H318" i="29" s="1"/>
  <c r="D196" i="29"/>
  <c r="D197" i="29" s="1"/>
  <c r="D198" i="29" s="1"/>
  <c r="D199" i="29" s="1"/>
  <c r="D200" i="29" s="1"/>
  <c r="J195" i="29"/>
  <c r="D294" i="29"/>
  <c r="L192" i="25"/>
  <c r="K233" i="25" s="1"/>
  <c r="K263" i="25"/>
  <c r="J290" i="25"/>
  <c r="J316" i="25"/>
  <c r="F193" i="25"/>
  <c r="F194" i="25" s="1"/>
  <c r="F195" i="25" s="1"/>
  <c r="F196" i="25" s="1"/>
  <c r="F292" i="25"/>
  <c r="D293" i="25"/>
  <c r="H197" i="25"/>
  <c r="C238" i="25" s="1"/>
  <c r="C268" i="25" s="1"/>
  <c r="B321" i="25" s="1"/>
  <c r="B198" i="25"/>
  <c r="B199" i="25" s="1"/>
  <c r="B200" i="25" s="1"/>
  <c r="K192" i="25"/>
  <c r="E193" i="25"/>
  <c r="D196" i="25"/>
  <c r="J195" i="25"/>
  <c r="G236" i="25"/>
  <c r="G266" i="25"/>
  <c r="F319" i="25" s="1"/>
  <c r="C197" i="25"/>
  <c r="I196" i="25"/>
  <c r="E237" i="25"/>
  <c r="E267" i="25" s="1"/>
  <c r="D320" i="25" s="1"/>
  <c r="B320" i="25"/>
  <c r="B294" i="25"/>
  <c r="H289" i="25"/>
  <c r="F292" i="21"/>
  <c r="D294" i="21"/>
  <c r="J195" i="21"/>
  <c r="G236" i="21" s="1"/>
  <c r="G266" i="21" s="1"/>
  <c r="D196" i="21"/>
  <c r="C198" i="21"/>
  <c r="I197" i="21"/>
  <c r="E238" i="21"/>
  <c r="E268" i="21" s="1"/>
  <c r="D321" i="21" s="1"/>
  <c r="B322" i="21"/>
  <c r="B296" i="21"/>
  <c r="H290" i="21"/>
  <c r="F192" i="21"/>
  <c r="L191" i="21"/>
  <c r="K232" i="21"/>
  <c r="K262" i="21" s="1"/>
  <c r="J289" i="21"/>
  <c r="J315" i="21" s="1"/>
  <c r="H200" i="21"/>
  <c r="C241" i="21" s="1"/>
  <c r="C271" i="21" s="1"/>
  <c r="B324" i="21" s="1"/>
  <c r="H199" i="21"/>
  <c r="C240" i="21" s="1"/>
  <c r="C270" i="21" s="1"/>
  <c r="B323" i="21" s="1"/>
  <c r="K193" i="21"/>
  <c r="I234" i="21"/>
  <c r="I264" i="21"/>
  <c r="I197" i="17"/>
  <c r="E238" i="17" s="1"/>
  <c r="E268" i="17" s="1"/>
  <c r="D321" i="17" s="1"/>
  <c r="H291" i="17"/>
  <c r="F318" i="17"/>
  <c r="F292" i="17"/>
  <c r="H197" i="17"/>
  <c r="C238" i="17"/>
  <c r="C268" i="17" s="1"/>
  <c r="B198" i="17"/>
  <c r="L191" i="17"/>
  <c r="K232" i="17"/>
  <c r="K262" i="17"/>
  <c r="J289" i="17"/>
  <c r="J315" i="17" s="1"/>
  <c r="J195" i="17"/>
  <c r="G236" i="17" s="1"/>
  <c r="G266" i="17" s="1"/>
  <c r="F319" i="17" s="1"/>
  <c r="D320" i="17"/>
  <c r="D294" i="17"/>
  <c r="K194" i="17"/>
  <c r="E195" i="17"/>
  <c r="E196" i="17" s="1"/>
  <c r="E197" i="17" s="1"/>
  <c r="B294" i="17"/>
  <c r="B294" i="13"/>
  <c r="H197" i="13"/>
  <c r="C238" i="13"/>
  <c r="C268" i="13" s="1"/>
  <c r="B321" i="13" s="1"/>
  <c r="B198" i="13"/>
  <c r="B199" i="13" s="1"/>
  <c r="B200" i="13" s="1"/>
  <c r="I195" i="13"/>
  <c r="E236" i="13"/>
  <c r="E266" i="13"/>
  <c r="C196" i="13"/>
  <c r="F291" i="13"/>
  <c r="J194" i="13"/>
  <c r="G235" i="13"/>
  <c r="G265" i="13" s="1"/>
  <c r="F318" i="13" s="1"/>
  <c r="D318" i="13"/>
  <c r="D292" i="13"/>
  <c r="L190" i="9"/>
  <c r="K231" i="9" s="1"/>
  <c r="K261" i="9" s="1"/>
  <c r="J194" i="9"/>
  <c r="G235" i="9"/>
  <c r="G265" i="9" s="1"/>
  <c r="K192" i="9"/>
  <c r="I233" i="9" s="1"/>
  <c r="I263" i="9" s="1"/>
  <c r="B198" i="9"/>
  <c r="B199" i="9" s="1"/>
  <c r="B200" i="9" s="1"/>
  <c r="H197" i="9"/>
  <c r="C238" i="9" s="1"/>
  <c r="C268" i="9" s="1"/>
  <c r="B321" i="9" s="1"/>
  <c r="I196" i="9"/>
  <c r="E237" i="9" s="1"/>
  <c r="E267" i="9" s="1"/>
  <c r="J195" i="5"/>
  <c r="G236" i="5" s="1"/>
  <c r="G266" i="5" s="1"/>
  <c r="L193" i="5"/>
  <c r="K234" i="5" s="1"/>
  <c r="K264" i="5" s="1"/>
  <c r="I196" i="5"/>
  <c r="H198" i="5"/>
  <c r="C239" i="5" s="1"/>
  <c r="C269" i="5" s="1"/>
  <c r="B322" i="5" s="1"/>
  <c r="K194" i="5"/>
  <c r="I235" i="5" s="1"/>
  <c r="I265" i="5" s="1"/>
  <c r="F159" i="25"/>
  <c r="F158" i="25"/>
  <c r="F159" i="13"/>
  <c r="F158" i="13"/>
  <c r="J286" i="13"/>
  <c r="H157" i="25"/>
  <c r="G158" i="25"/>
  <c r="G159" i="25"/>
  <c r="G157" i="21"/>
  <c r="J312" i="17"/>
  <c r="E194" i="13"/>
  <c r="K193" i="13"/>
  <c r="I234" i="13"/>
  <c r="I264" i="13" s="1"/>
  <c r="H317" i="13" s="1"/>
  <c r="H290" i="13"/>
  <c r="F192" i="13"/>
  <c r="L191" i="13"/>
  <c r="K232" i="13" s="1"/>
  <c r="K262" i="13" s="1"/>
  <c r="J289" i="13"/>
  <c r="J315" i="13" s="1"/>
  <c r="B322" i="37"/>
  <c r="B200" i="37"/>
  <c r="H200" i="37"/>
  <c r="C241" i="37" s="1"/>
  <c r="C271" i="37" s="1"/>
  <c r="B324" i="37" s="1"/>
  <c r="H199" i="37"/>
  <c r="C240" i="37" s="1"/>
  <c r="C270" i="37"/>
  <c r="B323" i="37" s="1"/>
  <c r="J196" i="29"/>
  <c r="G237" i="29" s="1"/>
  <c r="G267" i="29" s="1"/>
  <c r="F320" i="29" s="1"/>
  <c r="F293" i="29"/>
  <c r="I198" i="29"/>
  <c r="H198" i="29"/>
  <c r="D321" i="29"/>
  <c r="D295" i="29"/>
  <c r="B295" i="29"/>
  <c r="H292" i="29"/>
  <c r="K195" i="29"/>
  <c r="L195" i="29"/>
  <c r="K236" i="29"/>
  <c r="K266" i="29" s="1"/>
  <c r="J293" i="29"/>
  <c r="J319" i="29"/>
  <c r="H290" i="25"/>
  <c r="F293" i="25"/>
  <c r="H198" i="25"/>
  <c r="C239" i="25" s="1"/>
  <c r="C269" i="25" s="1"/>
  <c r="B322" i="25" s="1"/>
  <c r="D197" i="25"/>
  <c r="J196" i="25"/>
  <c r="G237" i="25"/>
  <c r="G267" i="25"/>
  <c r="F320" i="25" s="1"/>
  <c r="B295" i="25"/>
  <c r="D294" i="25"/>
  <c r="K193" i="25"/>
  <c r="I234" i="25" s="1"/>
  <c r="I264" i="25" s="1"/>
  <c r="H317" i="25" s="1"/>
  <c r="E194" i="25"/>
  <c r="E195" i="25" s="1"/>
  <c r="E196" i="25" s="1"/>
  <c r="L193" i="25"/>
  <c r="K234" i="25" s="1"/>
  <c r="K264" i="25" s="1"/>
  <c r="J291" i="25"/>
  <c r="J317" i="25"/>
  <c r="C198" i="25"/>
  <c r="I197" i="25"/>
  <c r="E238" i="25" s="1"/>
  <c r="E268" i="25" s="1"/>
  <c r="D321" i="25" s="1"/>
  <c r="B298" i="21"/>
  <c r="I198" i="21"/>
  <c r="E239" i="21" s="1"/>
  <c r="E269" i="21" s="1"/>
  <c r="C199" i="21"/>
  <c r="C200" i="21" s="1"/>
  <c r="K194" i="21"/>
  <c r="I235" i="21"/>
  <c r="I265" i="21" s="1"/>
  <c r="H318" i="21" s="1"/>
  <c r="J196" i="21"/>
  <c r="G237" i="21" s="1"/>
  <c r="G267" i="21" s="1"/>
  <c r="F320" i="21" s="1"/>
  <c r="D197" i="21"/>
  <c r="D198" i="21" s="1"/>
  <c r="D199" i="21" s="1"/>
  <c r="D200" i="21" s="1"/>
  <c r="B297" i="21"/>
  <c r="D295" i="21"/>
  <c r="H317" i="21"/>
  <c r="H291" i="21"/>
  <c r="F193" i="21"/>
  <c r="L192" i="21"/>
  <c r="K233" i="21" s="1"/>
  <c r="K263" i="21" s="1"/>
  <c r="J290" i="21"/>
  <c r="J316" i="21" s="1"/>
  <c r="F319" i="21"/>
  <c r="F293" i="21"/>
  <c r="H292" i="17"/>
  <c r="J196" i="17"/>
  <c r="G237" i="17"/>
  <c r="G267" i="17" s="1"/>
  <c r="B321" i="17"/>
  <c r="B295" i="17"/>
  <c r="L192" i="17"/>
  <c r="K233" i="17"/>
  <c r="K263" i="17" s="1"/>
  <c r="J290" i="17"/>
  <c r="J316" i="17"/>
  <c r="D295" i="17"/>
  <c r="K195" i="17"/>
  <c r="I236" i="17"/>
  <c r="I266" i="17" s="1"/>
  <c r="H319" i="17" s="1"/>
  <c r="F293" i="17"/>
  <c r="H198" i="17"/>
  <c r="C239" i="17" s="1"/>
  <c r="C269" i="17" s="1"/>
  <c r="B322" i="17" s="1"/>
  <c r="B199" i="17"/>
  <c r="B200" i="17" s="1"/>
  <c r="I198" i="17"/>
  <c r="E239" i="17"/>
  <c r="E269" i="17" s="1"/>
  <c r="D322" i="17" s="1"/>
  <c r="D319" i="13"/>
  <c r="D293" i="13"/>
  <c r="B295" i="13"/>
  <c r="J195" i="13"/>
  <c r="G236" i="13"/>
  <c r="G266" i="13" s="1"/>
  <c r="F319" i="13" s="1"/>
  <c r="I196" i="13"/>
  <c r="E237" i="13" s="1"/>
  <c r="E267" i="13" s="1"/>
  <c r="D320" i="13" s="1"/>
  <c r="C197" i="13"/>
  <c r="C198" i="13" s="1"/>
  <c r="C199" i="13" s="1"/>
  <c r="C200" i="13" s="1"/>
  <c r="H198" i="13"/>
  <c r="C239" i="13"/>
  <c r="C269" i="13" s="1"/>
  <c r="B322" i="13" s="1"/>
  <c r="F292" i="13"/>
  <c r="J195" i="9"/>
  <c r="G236" i="9"/>
  <c r="G266" i="9" s="1"/>
  <c r="H198" i="9"/>
  <c r="C239" i="9"/>
  <c r="C269" i="9" s="1"/>
  <c r="B322" i="9" s="1"/>
  <c r="K193" i="9"/>
  <c r="I234" i="9" s="1"/>
  <c r="I264" i="9" s="1"/>
  <c r="I197" i="9"/>
  <c r="E238" i="9"/>
  <c r="E268" i="9" s="1"/>
  <c r="L191" i="9"/>
  <c r="K232" i="9" s="1"/>
  <c r="K262" i="9" s="1"/>
  <c r="K195" i="5"/>
  <c r="I236" i="5" s="1"/>
  <c r="I266" i="5" s="1"/>
  <c r="I197" i="5"/>
  <c r="E238" i="5" s="1"/>
  <c r="E268" i="5" s="1"/>
  <c r="L194" i="5"/>
  <c r="K235" i="5" s="1"/>
  <c r="K265" i="5" s="1"/>
  <c r="H199" i="5"/>
  <c r="C240" i="5" s="1"/>
  <c r="C270" i="5" s="1"/>
  <c r="B323" i="5" s="1"/>
  <c r="H200" i="5"/>
  <c r="J196" i="5"/>
  <c r="G237" i="5" s="1"/>
  <c r="G267" i="5" s="1"/>
  <c r="H159" i="25"/>
  <c r="H158" i="25"/>
  <c r="J312" i="13"/>
  <c r="G158" i="21"/>
  <c r="H158" i="21"/>
  <c r="G159" i="21"/>
  <c r="H159" i="21"/>
  <c r="H157" i="21"/>
  <c r="H291" i="13"/>
  <c r="F193" i="13"/>
  <c r="L192" i="13"/>
  <c r="K233" i="13"/>
  <c r="K263" i="13" s="1"/>
  <c r="J290" i="13"/>
  <c r="J316" i="13" s="1"/>
  <c r="E195" i="13"/>
  <c r="E196" i="13" s="1"/>
  <c r="E197" i="13" s="1"/>
  <c r="E198" i="13" s="1"/>
  <c r="K194" i="13"/>
  <c r="K196" i="29"/>
  <c r="I237" i="29"/>
  <c r="I267" i="29" s="1"/>
  <c r="B296" i="29"/>
  <c r="I199" i="29"/>
  <c r="E240" i="29" s="1"/>
  <c r="E270" i="29" s="1"/>
  <c r="D323" i="29" s="1"/>
  <c r="I200" i="29"/>
  <c r="E241" i="29" s="1"/>
  <c r="E271" i="29" s="1"/>
  <c r="D324" i="29" s="1"/>
  <c r="H293" i="29"/>
  <c r="H199" i="29"/>
  <c r="C240" i="29"/>
  <c r="C270" i="29" s="1"/>
  <c r="B323" i="29" s="1"/>
  <c r="B200" i="29"/>
  <c r="H200" i="29"/>
  <c r="C241" i="29"/>
  <c r="C271" i="29"/>
  <c r="B324" i="29" s="1"/>
  <c r="L196" i="29"/>
  <c r="K237" i="29"/>
  <c r="K267" i="29" s="1"/>
  <c r="J294" i="29"/>
  <c r="J320" i="29" s="1"/>
  <c r="F294" i="29"/>
  <c r="D296" i="29"/>
  <c r="J197" i="29"/>
  <c r="C199" i="25"/>
  <c r="C200" i="25" s="1"/>
  <c r="I198" i="25"/>
  <c r="E239" i="25" s="1"/>
  <c r="E269" i="25" s="1"/>
  <c r="D322" i="25" s="1"/>
  <c r="B296" i="25"/>
  <c r="L194" i="25"/>
  <c r="K235" i="25" s="1"/>
  <c r="K265" i="25" s="1"/>
  <c r="J292" i="25"/>
  <c r="J318" i="25" s="1"/>
  <c r="F294" i="25"/>
  <c r="D198" i="25"/>
  <c r="J197" i="25"/>
  <c r="G238" i="25"/>
  <c r="G268" i="25"/>
  <c r="F321" i="25" s="1"/>
  <c r="D295" i="25"/>
  <c r="K194" i="25"/>
  <c r="I235" i="25" s="1"/>
  <c r="I265" i="25"/>
  <c r="H318" i="25" s="1"/>
  <c r="H199" i="25"/>
  <c r="C240" i="25"/>
  <c r="C270" i="25" s="1"/>
  <c r="H200" i="25"/>
  <c r="C241" i="25" s="1"/>
  <c r="C271" i="25" s="1"/>
  <c r="B324" i="25" s="1"/>
  <c r="H291" i="25"/>
  <c r="J197" i="21"/>
  <c r="G238" i="21" s="1"/>
  <c r="G268" i="21" s="1"/>
  <c r="F321" i="21" s="1"/>
  <c r="I200" i="21"/>
  <c r="E241" i="21" s="1"/>
  <c r="E271" i="21" s="1"/>
  <c r="I199" i="21"/>
  <c r="E240" i="21" s="1"/>
  <c r="E270" i="21" s="1"/>
  <c r="D323" i="21" s="1"/>
  <c r="H292" i="21"/>
  <c r="F194" i="21"/>
  <c r="F195" i="21" s="1"/>
  <c r="L193" i="21"/>
  <c r="K234" i="21"/>
  <c r="K264" i="21"/>
  <c r="J291" i="21"/>
  <c r="J317" i="21" s="1"/>
  <c r="F294" i="21"/>
  <c r="D322" i="21"/>
  <c r="D296" i="21"/>
  <c r="K195" i="21"/>
  <c r="I236" i="21"/>
  <c r="I266" i="21" s="1"/>
  <c r="H319" i="21" s="1"/>
  <c r="B296" i="17"/>
  <c r="H293" i="17"/>
  <c r="J197" i="17"/>
  <c r="G238" i="17" s="1"/>
  <c r="G268" i="17" s="1"/>
  <c r="F321" i="17" s="1"/>
  <c r="D296" i="17"/>
  <c r="C200" i="17"/>
  <c r="I200" i="17"/>
  <c r="I199" i="17"/>
  <c r="E240" i="17" s="1"/>
  <c r="E270" i="17" s="1"/>
  <c r="D323" i="17" s="1"/>
  <c r="H199" i="17"/>
  <c r="C240" i="17"/>
  <c r="C270" i="17" s="1"/>
  <c r="B323" i="17" s="1"/>
  <c r="H200" i="17"/>
  <c r="C241" i="17" s="1"/>
  <c r="C271" i="17" s="1"/>
  <c r="B324" i="17" s="1"/>
  <c r="K196" i="17"/>
  <c r="I237" i="17" s="1"/>
  <c r="I267" i="17" s="1"/>
  <c r="H320" i="17" s="1"/>
  <c r="L193" i="17"/>
  <c r="K234" i="17"/>
  <c r="K264" i="17" s="1"/>
  <c r="J291" i="17"/>
  <c r="J317" i="17"/>
  <c r="F320" i="17"/>
  <c r="F294" i="17"/>
  <c r="B296" i="13"/>
  <c r="F293" i="13"/>
  <c r="H199" i="13"/>
  <c r="C240" i="13" s="1"/>
  <c r="C270" i="13"/>
  <c r="B323" i="13" s="1"/>
  <c r="H200" i="13"/>
  <c r="C241" i="13"/>
  <c r="C271" i="13" s="1"/>
  <c r="B324" i="13" s="1"/>
  <c r="J196" i="13"/>
  <c r="G237" i="13"/>
  <c r="G267" i="13" s="1"/>
  <c r="F320" i="13" s="1"/>
  <c r="D197" i="13"/>
  <c r="D198" i="13" s="1"/>
  <c r="D199" i="13" s="1"/>
  <c r="I197" i="13"/>
  <c r="E238" i="13"/>
  <c r="E268" i="13"/>
  <c r="D321" i="13" s="1"/>
  <c r="D294" i="13"/>
  <c r="H200" i="9"/>
  <c r="C241" i="9"/>
  <c r="C271" i="9" s="1"/>
  <c r="B324" i="9" s="1"/>
  <c r="H199" i="9"/>
  <c r="C240" i="9"/>
  <c r="C270" i="9" s="1"/>
  <c r="B323" i="9" s="1"/>
  <c r="J196" i="9"/>
  <c r="G237" i="9"/>
  <c r="G267" i="9" s="1"/>
  <c r="K194" i="9"/>
  <c r="I235" i="9" s="1"/>
  <c r="I265" i="9"/>
  <c r="L192" i="9"/>
  <c r="K233" i="9"/>
  <c r="K263" i="9" s="1"/>
  <c r="I198" i="9"/>
  <c r="E239" i="9" s="1"/>
  <c r="E269" i="9" s="1"/>
  <c r="I198" i="5"/>
  <c r="E239" i="5" s="1"/>
  <c r="E269" i="5" s="1"/>
  <c r="J197" i="5"/>
  <c r="G238" i="5"/>
  <c r="G268" i="5"/>
  <c r="K196" i="5"/>
  <c r="I237" i="5" s="1"/>
  <c r="I267" i="5" s="1"/>
  <c r="L195" i="5"/>
  <c r="K236" i="5" s="1"/>
  <c r="K266" i="5" s="1"/>
  <c r="G157" i="17"/>
  <c r="F194" i="13"/>
  <c r="L193" i="13"/>
  <c r="K234" i="13" s="1"/>
  <c r="K264" i="13"/>
  <c r="J291" i="13"/>
  <c r="J317" i="13"/>
  <c r="H292" i="13"/>
  <c r="K195" i="13"/>
  <c r="I236" i="13" s="1"/>
  <c r="I266" i="13" s="1"/>
  <c r="H319" i="13" s="1"/>
  <c r="F295" i="29"/>
  <c r="D298" i="29"/>
  <c r="L197" i="29"/>
  <c r="K238" i="29" s="1"/>
  <c r="K268" i="29" s="1"/>
  <c r="J295" i="29"/>
  <c r="J321" i="29" s="1"/>
  <c r="F198" i="29"/>
  <c r="F199" i="29" s="1"/>
  <c r="F200" i="29" s="1"/>
  <c r="B298" i="29"/>
  <c r="H320" i="29"/>
  <c r="H294" i="29"/>
  <c r="J198" i="29"/>
  <c r="B297" i="29"/>
  <c r="D297" i="29"/>
  <c r="K197" i="29"/>
  <c r="H292" i="25"/>
  <c r="D199" i="25"/>
  <c r="J198" i="25"/>
  <c r="G239" i="25" s="1"/>
  <c r="G269" i="25" s="1"/>
  <c r="F322" i="25" s="1"/>
  <c r="I200" i="25"/>
  <c r="E241" i="25" s="1"/>
  <c r="E271" i="25" s="1"/>
  <c r="I199" i="25"/>
  <c r="E240" i="25" s="1"/>
  <c r="E270" i="25" s="1"/>
  <c r="B298" i="25"/>
  <c r="B323" i="25"/>
  <c r="B297" i="25"/>
  <c r="K195" i="25"/>
  <c r="I236" i="25"/>
  <c r="I266" i="25" s="1"/>
  <c r="H319" i="25" s="1"/>
  <c r="F295" i="25"/>
  <c r="L195" i="25"/>
  <c r="K236" i="25" s="1"/>
  <c r="K266" i="25" s="1"/>
  <c r="J293" i="25"/>
  <c r="J319" i="25" s="1"/>
  <c r="D296" i="25"/>
  <c r="D297" i="21"/>
  <c r="L194" i="21"/>
  <c r="K235" i="21" s="1"/>
  <c r="K265" i="21" s="1"/>
  <c r="J292" i="21"/>
  <c r="J318" i="21" s="1"/>
  <c r="D324" i="21"/>
  <c r="D298" i="21"/>
  <c r="K196" i="21"/>
  <c r="I237" i="21" s="1"/>
  <c r="I267" i="21" s="1"/>
  <c r="H320" i="21" s="1"/>
  <c r="J198" i="21"/>
  <c r="G239" i="21" s="1"/>
  <c r="G269" i="21" s="1"/>
  <c r="F322" i="21" s="1"/>
  <c r="H293" i="21"/>
  <c r="F295" i="21"/>
  <c r="L194" i="17"/>
  <c r="K235" i="17" s="1"/>
  <c r="K265" i="17"/>
  <c r="J292" i="17"/>
  <c r="J318" i="17"/>
  <c r="F195" i="17"/>
  <c r="B298" i="17"/>
  <c r="B297" i="17"/>
  <c r="K197" i="17"/>
  <c r="I238" i="17" s="1"/>
  <c r="I268" i="17" s="1"/>
  <c r="H321" i="17" s="1"/>
  <c r="E198" i="17"/>
  <c r="E199" i="17" s="1"/>
  <c r="E200" i="17" s="1"/>
  <c r="D297" i="17"/>
  <c r="F295" i="17"/>
  <c r="H294" i="17"/>
  <c r="D298" i="17"/>
  <c r="J198" i="17"/>
  <c r="G239" i="17"/>
  <c r="G269" i="17" s="1"/>
  <c r="F322" i="17" s="1"/>
  <c r="B297" i="13"/>
  <c r="I198" i="13"/>
  <c r="E239" i="13"/>
  <c r="E269" i="13" s="1"/>
  <c r="J197" i="13"/>
  <c r="G238" i="13"/>
  <c r="G268" i="13" s="1"/>
  <c r="B298" i="13"/>
  <c r="D295" i="13"/>
  <c r="F294" i="13"/>
  <c r="J197" i="9"/>
  <c r="G238" i="9" s="1"/>
  <c r="G268" i="9" s="1"/>
  <c r="I200" i="9"/>
  <c r="E241" i="9"/>
  <c r="E271" i="9" s="1"/>
  <c r="I199" i="9"/>
  <c r="E240" i="9" s="1"/>
  <c r="E270" i="9" s="1"/>
  <c r="K195" i="9"/>
  <c r="I236" i="9" s="1"/>
  <c r="I266" i="9" s="1"/>
  <c r="L193" i="9"/>
  <c r="K234" i="9" s="1"/>
  <c r="K264" i="9" s="1"/>
  <c r="L196" i="5"/>
  <c r="K197" i="5"/>
  <c r="I238" i="5" s="1"/>
  <c r="I268" i="5" s="1"/>
  <c r="I199" i="5"/>
  <c r="E240" i="5"/>
  <c r="E270" i="5" s="1"/>
  <c r="I200" i="5"/>
  <c r="J198" i="5"/>
  <c r="G157" i="13"/>
  <c r="H157" i="17"/>
  <c r="G159" i="17"/>
  <c r="H159" i="17"/>
  <c r="G158" i="17"/>
  <c r="H158" i="17"/>
  <c r="H293" i="13"/>
  <c r="K196" i="13"/>
  <c r="I237" i="13" s="1"/>
  <c r="I267" i="13" s="1"/>
  <c r="H320" i="13" s="1"/>
  <c r="F195" i="13"/>
  <c r="F196" i="13" s="1"/>
  <c r="F197" i="13" s="1"/>
  <c r="F198" i="13" s="1"/>
  <c r="F199" i="13" s="1"/>
  <c r="F200" i="13" s="1"/>
  <c r="L194" i="13"/>
  <c r="K235" i="13"/>
  <c r="K265" i="13" s="1"/>
  <c r="J292" i="13"/>
  <c r="J318" i="13"/>
  <c r="J200" i="29"/>
  <c r="G241" i="29"/>
  <c r="G271" i="29" s="1"/>
  <c r="F324" i="29" s="1"/>
  <c r="J199" i="29"/>
  <c r="G240" i="29"/>
  <c r="G270" i="29" s="1"/>
  <c r="F323" i="29" s="1"/>
  <c r="F296" i="29"/>
  <c r="H295" i="29"/>
  <c r="L198" i="29"/>
  <c r="J296" i="29"/>
  <c r="J322" i="29"/>
  <c r="K198" i="29"/>
  <c r="I239" i="29" s="1"/>
  <c r="I269" i="29"/>
  <c r="D324" i="25"/>
  <c r="D298" i="25"/>
  <c r="L196" i="25"/>
  <c r="K237" i="25"/>
  <c r="K267" i="25" s="1"/>
  <c r="J294" i="25"/>
  <c r="J320" i="25" s="1"/>
  <c r="F197" i="25"/>
  <c r="F198" i="25" s="1"/>
  <c r="F199" i="25" s="1"/>
  <c r="F200" i="25" s="1"/>
  <c r="K196" i="25"/>
  <c r="E197" i="25"/>
  <c r="E198" i="25" s="1"/>
  <c r="E199" i="25" s="1"/>
  <c r="E200" i="25" s="1"/>
  <c r="F296" i="25"/>
  <c r="H293" i="25"/>
  <c r="D200" i="25"/>
  <c r="J200" i="25"/>
  <c r="G241" i="25" s="1"/>
  <c r="G271" i="25"/>
  <c r="J199" i="25"/>
  <c r="G240" i="25"/>
  <c r="G270" i="25" s="1"/>
  <c r="F323" i="25" s="1"/>
  <c r="D323" i="25"/>
  <c r="D297" i="25"/>
  <c r="K197" i="21"/>
  <c r="I238" i="21" s="1"/>
  <c r="I268" i="21"/>
  <c r="F196" i="21"/>
  <c r="L195" i="21"/>
  <c r="J293" i="21"/>
  <c r="J319" i="21" s="1"/>
  <c r="J199" i="21"/>
  <c r="G240" i="21" s="1"/>
  <c r="G270" i="21"/>
  <c r="F323" i="21" s="1"/>
  <c r="J200" i="21"/>
  <c r="G241" i="21" s="1"/>
  <c r="G271" i="21" s="1"/>
  <c r="F324" i="21" s="1"/>
  <c r="H294" i="21"/>
  <c r="F296" i="21"/>
  <c r="K198" i="17"/>
  <c r="H295" i="17"/>
  <c r="F296" i="17"/>
  <c r="L195" i="17"/>
  <c r="K236" i="17"/>
  <c r="K266" i="17"/>
  <c r="J293" i="17"/>
  <c r="J319" i="17" s="1"/>
  <c r="F196" i="17"/>
  <c r="F197" i="17" s="1"/>
  <c r="F198" i="17" s="1"/>
  <c r="F199" i="17" s="1"/>
  <c r="F200" i="17" s="1"/>
  <c r="J200" i="17"/>
  <c r="G241" i="17" s="1"/>
  <c r="G271" i="17"/>
  <c r="F324" i="17" s="1"/>
  <c r="J199" i="17"/>
  <c r="G240" i="17" s="1"/>
  <c r="G270" i="17" s="1"/>
  <c r="F323" i="17" s="1"/>
  <c r="D322" i="13"/>
  <c r="D296" i="13"/>
  <c r="F321" i="13"/>
  <c r="F295" i="13"/>
  <c r="I199" i="13"/>
  <c r="E240" i="13" s="1"/>
  <c r="E270" i="13" s="1"/>
  <c r="D323" i="13" s="1"/>
  <c r="I200" i="13"/>
  <c r="E241" i="13" s="1"/>
  <c r="E271" i="13"/>
  <c r="J198" i="13"/>
  <c r="G239" i="13"/>
  <c r="G269" i="13"/>
  <c r="F322" i="13" s="1"/>
  <c r="L194" i="9"/>
  <c r="K235" i="9" s="1"/>
  <c r="K265" i="9"/>
  <c r="K196" i="9"/>
  <c r="I237" i="9"/>
  <c r="I267" i="9" s="1"/>
  <c r="J198" i="9"/>
  <c r="G239" i="9" s="1"/>
  <c r="G269" i="9" s="1"/>
  <c r="K198" i="5"/>
  <c r="I239" i="5"/>
  <c r="I269" i="5" s="1"/>
  <c r="L197" i="5"/>
  <c r="K238" i="5" s="1"/>
  <c r="K268" i="5" s="1"/>
  <c r="J200" i="5"/>
  <c r="J199" i="5"/>
  <c r="G240" i="5" s="1"/>
  <c r="G270" i="5" s="1"/>
  <c r="H157" i="13"/>
  <c r="G158" i="13"/>
  <c r="H158" i="13"/>
  <c r="G159" i="13"/>
  <c r="H159" i="13"/>
  <c r="H294" i="13"/>
  <c r="K197" i="13"/>
  <c r="I238" i="13" s="1"/>
  <c r="I268" i="13"/>
  <c r="H321" i="13" s="1"/>
  <c r="L195" i="13"/>
  <c r="K236" i="13" s="1"/>
  <c r="K266" i="13"/>
  <c r="J293" i="13"/>
  <c r="J319" i="13" s="1"/>
  <c r="H322" i="29"/>
  <c r="H296" i="29"/>
  <c r="L199" i="29"/>
  <c r="K240" i="29"/>
  <c r="K270" i="29" s="1"/>
  <c r="J297" i="29"/>
  <c r="J323" i="29"/>
  <c r="L200" i="29"/>
  <c r="K241" i="29" s="1"/>
  <c r="K271" i="29" s="1"/>
  <c r="J298" i="29"/>
  <c r="J324" i="29" s="1"/>
  <c r="F297" i="29"/>
  <c r="K200" i="29"/>
  <c r="I241" i="29" s="1"/>
  <c r="I271" i="29"/>
  <c r="K199" i="29"/>
  <c r="I240" i="29" s="1"/>
  <c r="I270" i="29" s="1"/>
  <c r="F298" i="29"/>
  <c r="F324" i="25"/>
  <c r="F298" i="25"/>
  <c r="L197" i="25"/>
  <c r="K238" i="25"/>
  <c r="K268" i="25" s="1"/>
  <c r="J295" i="25"/>
  <c r="J321" i="25"/>
  <c r="K197" i="25"/>
  <c r="I238" i="25" s="1"/>
  <c r="I268" i="25"/>
  <c r="H321" i="25" s="1"/>
  <c r="F297" i="25"/>
  <c r="H294" i="25"/>
  <c r="F197" i="21"/>
  <c r="L196" i="21"/>
  <c r="K237" i="21"/>
  <c r="K267" i="21"/>
  <c r="J294" i="21"/>
  <c r="J320" i="21" s="1"/>
  <c r="F298" i="21"/>
  <c r="E199" i="21"/>
  <c r="K198" i="21"/>
  <c r="I239" i="21"/>
  <c r="I269" i="21"/>
  <c r="F297" i="21"/>
  <c r="H321" i="21"/>
  <c r="H295" i="21"/>
  <c r="F297" i="17"/>
  <c r="K199" i="17"/>
  <c r="I240" i="17" s="1"/>
  <c r="I270" i="17" s="1"/>
  <c r="H323" i="17" s="1"/>
  <c r="K200" i="17"/>
  <c r="L196" i="17"/>
  <c r="K237" i="17" s="1"/>
  <c r="K267" i="17" s="1"/>
  <c r="J294" i="17"/>
  <c r="J320" i="17" s="1"/>
  <c r="F298" i="17"/>
  <c r="H296" i="17"/>
  <c r="D200" i="13"/>
  <c r="J200" i="13"/>
  <c r="G241" i="13" s="1"/>
  <c r="G271" i="13"/>
  <c r="F324" i="13" s="1"/>
  <c r="J199" i="13"/>
  <c r="G240" i="13"/>
  <c r="G270" i="13"/>
  <c r="D324" i="13"/>
  <c r="D298" i="13"/>
  <c r="D297" i="13"/>
  <c r="F296" i="13"/>
  <c r="K197" i="9"/>
  <c r="I238" i="9" s="1"/>
  <c r="I268" i="9" s="1"/>
  <c r="J199" i="9"/>
  <c r="G240" i="9"/>
  <c r="G270" i="9" s="1"/>
  <c r="J200" i="9"/>
  <c r="G241" i="9" s="1"/>
  <c r="G271" i="9" s="1"/>
  <c r="L195" i="9"/>
  <c r="K236" i="9"/>
  <c r="K266" i="9"/>
  <c r="K200" i="5"/>
  <c r="I241" i="5" s="1"/>
  <c r="I271" i="5" s="1"/>
  <c r="K199" i="5"/>
  <c r="I240" i="5" s="1"/>
  <c r="I270" i="5" s="1"/>
  <c r="L198" i="5"/>
  <c r="K239" i="5" s="1"/>
  <c r="K269" i="5" s="1"/>
  <c r="H295" i="13"/>
  <c r="E199" i="13"/>
  <c r="E200" i="13" s="1"/>
  <c r="K198" i="13"/>
  <c r="I239" i="13"/>
  <c r="I269" i="13" s="1"/>
  <c r="H322" i="13" s="1"/>
  <c r="L196" i="13"/>
  <c r="K237" i="13" s="1"/>
  <c r="K267" i="13" s="1"/>
  <c r="J294" i="13"/>
  <c r="J320" i="13" s="1"/>
  <c r="H323" i="29"/>
  <c r="H297" i="29"/>
  <c r="H324" i="29"/>
  <c r="H298" i="29"/>
  <c r="L198" i="25"/>
  <c r="K239" i="25"/>
  <c r="K269" i="25" s="1"/>
  <c r="J296" i="25"/>
  <c r="J322" i="25" s="1"/>
  <c r="K198" i="25"/>
  <c r="I239" i="25" s="1"/>
  <c r="I269" i="25" s="1"/>
  <c r="H322" i="25" s="1"/>
  <c r="H295" i="25"/>
  <c r="H322" i="21"/>
  <c r="H296" i="21"/>
  <c r="K199" i="21"/>
  <c r="I240" i="21" s="1"/>
  <c r="I270" i="21" s="1"/>
  <c r="H323" i="21" s="1"/>
  <c r="E200" i="21"/>
  <c r="K200" i="21"/>
  <c r="I241" i="21"/>
  <c r="I271" i="21" s="1"/>
  <c r="H324" i="21" s="1"/>
  <c r="F198" i="21"/>
  <c r="F199" i="21" s="1"/>
  <c r="F200" i="21" s="1"/>
  <c r="L197" i="21"/>
  <c r="K238" i="21" s="1"/>
  <c r="K268" i="21" s="1"/>
  <c r="J295" i="21"/>
  <c r="J321" i="21" s="1"/>
  <c r="H298" i="17"/>
  <c r="H297" i="17"/>
  <c r="L197" i="17"/>
  <c r="K238" i="17"/>
  <c r="K268" i="17"/>
  <c r="J295" i="17"/>
  <c r="J321" i="17"/>
  <c r="F323" i="13"/>
  <c r="F297" i="13"/>
  <c r="F298" i="13"/>
  <c r="K198" i="9"/>
  <c r="I239" i="9"/>
  <c r="I269" i="9" s="1"/>
  <c r="L196" i="9"/>
  <c r="K237" i="9"/>
  <c r="K267" i="9" s="1"/>
  <c r="L199" i="5"/>
  <c r="K240" i="5" s="1"/>
  <c r="K270" i="5" s="1"/>
  <c r="L200" i="5"/>
  <c r="H296" i="13"/>
  <c r="K200" i="13"/>
  <c r="K199" i="13"/>
  <c r="I240" i="13" s="1"/>
  <c r="I270" i="13" s="1"/>
  <c r="H323" i="13" s="1"/>
  <c r="L197" i="13"/>
  <c r="K238" i="13"/>
  <c r="K268" i="13" s="1"/>
  <c r="J295" i="13"/>
  <c r="J321" i="13"/>
  <c r="K199" i="25"/>
  <c r="I240" i="25"/>
  <c r="I270" i="25"/>
  <c r="K200" i="25"/>
  <c r="I241" i="25"/>
  <c r="I271" i="25" s="1"/>
  <c r="H324" i="25" s="1"/>
  <c r="H296" i="25"/>
  <c r="L199" i="25"/>
  <c r="K240" i="25"/>
  <c r="K270" i="25" s="1"/>
  <c r="J297" i="25"/>
  <c r="J323" i="25"/>
  <c r="L200" i="25"/>
  <c r="K241" i="25" s="1"/>
  <c r="K271" i="25" s="1"/>
  <c r="J298" i="25"/>
  <c r="J324" i="25" s="1"/>
  <c r="H297" i="21"/>
  <c r="H298" i="21"/>
  <c r="L198" i="21"/>
  <c r="K239" i="21"/>
  <c r="K269" i="21" s="1"/>
  <c r="J296" i="21"/>
  <c r="J322" i="21"/>
  <c r="L198" i="17"/>
  <c r="K239" i="17"/>
  <c r="K269" i="17" s="1"/>
  <c r="J296" i="17"/>
  <c r="J322" i="17"/>
  <c r="L197" i="9"/>
  <c r="K238" i="9" s="1"/>
  <c r="K268" i="9" s="1"/>
  <c r="K199" i="9"/>
  <c r="I240" i="9" s="1"/>
  <c r="I270" i="9" s="1"/>
  <c r="K200" i="9"/>
  <c r="I241" i="9"/>
  <c r="I271" i="9" s="1"/>
  <c r="H297" i="13"/>
  <c r="H298" i="13"/>
  <c r="L198" i="13"/>
  <c r="K239" i="13"/>
  <c r="K269" i="13"/>
  <c r="J296" i="13"/>
  <c r="J322" i="13"/>
  <c r="H298" i="25"/>
  <c r="H323" i="25"/>
  <c r="H297" i="25"/>
  <c r="L200" i="21"/>
  <c r="K241" i="21" s="1"/>
  <c r="K271" i="21" s="1"/>
  <c r="J298" i="21"/>
  <c r="J324" i="21"/>
  <c r="L199" i="21"/>
  <c r="K240" i="21" s="1"/>
  <c r="K270" i="21" s="1"/>
  <c r="J297" i="21"/>
  <c r="J323" i="21" s="1"/>
  <c r="L199" i="17"/>
  <c r="K240" i="17" s="1"/>
  <c r="K270" i="17" s="1"/>
  <c r="J297" i="17"/>
  <c r="J323" i="17" s="1"/>
  <c r="L200" i="17"/>
  <c r="J298" i="17"/>
  <c r="J324" i="17"/>
  <c r="L198" i="9"/>
  <c r="K239" i="9" s="1"/>
  <c r="K269" i="9" s="1"/>
  <c r="L200" i="13"/>
  <c r="K241" i="13" s="1"/>
  <c r="K271" i="13" s="1"/>
  <c r="J298" i="13"/>
  <c r="J324" i="13"/>
  <c r="L199" i="13"/>
  <c r="K240" i="13" s="1"/>
  <c r="K270" i="13" s="1"/>
  <c r="J297" i="13"/>
  <c r="J323" i="13" s="1"/>
  <c r="L200" i="9"/>
  <c r="K241" i="9"/>
  <c r="K271" i="9"/>
  <c r="L199" i="9"/>
  <c r="K240" i="9" s="1"/>
  <c r="K270" i="9" s="1"/>
  <c r="S6" i="2"/>
  <c r="H178" i="1"/>
  <c r="D97" i="1"/>
  <c r="C97" i="1"/>
  <c r="H179" i="1"/>
  <c r="B219" i="1"/>
  <c r="B249" i="1" s="1"/>
  <c r="I177" i="1"/>
  <c r="B220" i="1"/>
  <c r="B250" i="1" s="1"/>
  <c r="H180" i="1"/>
  <c r="F97" i="1"/>
  <c r="I178" i="1"/>
  <c r="J177" i="1"/>
  <c r="B221" i="1"/>
  <c r="B251" i="1" s="1"/>
  <c r="H181" i="1"/>
  <c r="E97" i="1"/>
  <c r="E37" i="2"/>
  <c r="H97" i="1"/>
  <c r="J97" i="1"/>
  <c r="I179" i="1"/>
  <c r="J178" i="1"/>
  <c r="E38" i="2"/>
  <c r="E39" i="2"/>
  <c r="H182" i="1"/>
  <c r="K177" i="1"/>
  <c r="B222" i="1"/>
  <c r="B252" i="1" s="1"/>
  <c r="D219" i="1"/>
  <c r="D249" i="1" s="1"/>
  <c r="F218" i="1"/>
  <c r="F248" i="1" s="1"/>
  <c r="G97" i="1"/>
  <c r="L177" i="1"/>
  <c r="I180" i="1"/>
  <c r="J179" i="1"/>
  <c r="H183" i="1"/>
  <c r="K178" i="1"/>
  <c r="D220" i="1"/>
  <c r="D250" i="1" s="1"/>
  <c r="F219" i="1"/>
  <c r="F249" i="1" s="1"/>
  <c r="K97" i="1"/>
  <c r="I97" i="1"/>
  <c r="I181" i="1"/>
  <c r="J180" i="1"/>
  <c r="H184" i="1"/>
  <c r="B223" i="1"/>
  <c r="B253" i="1" s="1"/>
  <c r="K179" i="1"/>
  <c r="L179" i="1"/>
  <c r="L178" i="1"/>
  <c r="F220" i="1"/>
  <c r="H219" i="1"/>
  <c r="H249" i="1" s="1"/>
  <c r="H220" i="1"/>
  <c r="H250" i="1" s="1"/>
  <c r="D221" i="1"/>
  <c r="D251" i="1" s="1"/>
  <c r="E40" i="2"/>
  <c r="F37" i="2"/>
  <c r="J218" i="1"/>
  <c r="J248" i="1" s="1"/>
  <c r="I182" i="1"/>
  <c r="J181" i="1"/>
  <c r="E41" i="2"/>
  <c r="H185" i="1"/>
  <c r="B224" i="1"/>
  <c r="B254" i="1" s="1"/>
  <c r="K180" i="1"/>
  <c r="L180" i="1"/>
  <c r="K221" i="1" s="1"/>
  <c r="K251" i="1" s="1"/>
  <c r="K181" i="1"/>
  <c r="F38" i="2"/>
  <c r="H37" i="2"/>
  <c r="F221" i="1"/>
  <c r="F251" i="1" s="1"/>
  <c r="J219" i="1"/>
  <c r="J249" i="1" s="1"/>
  <c r="J220" i="1"/>
  <c r="J250" i="1" s="1"/>
  <c r="H221" i="1"/>
  <c r="D222" i="1"/>
  <c r="D252" i="1" s="1"/>
  <c r="I183" i="1"/>
  <c r="J182" i="1"/>
  <c r="G223" i="1" s="1"/>
  <c r="G253" i="1" s="1"/>
  <c r="E42" i="2"/>
  <c r="H186" i="1"/>
  <c r="B225" i="1"/>
  <c r="B255" i="1" s="1"/>
  <c r="L181" i="1"/>
  <c r="K222" i="1" s="1"/>
  <c r="K252" i="1" s="1"/>
  <c r="K182" i="1"/>
  <c r="J221" i="1"/>
  <c r="J251" i="1" s="1"/>
  <c r="J39" i="2"/>
  <c r="H222" i="1"/>
  <c r="H252" i="1" s="1"/>
  <c r="E222" i="1"/>
  <c r="E252" i="1" s="1"/>
  <c r="H38" i="2"/>
  <c r="F222" i="1"/>
  <c r="F252" i="1" s="1"/>
  <c r="F39" i="2"/>
  <c r="J38" i="2"/>
  <c r="J37" i="2"/>
  <c r="D223" i="1"/>
  <c r="D253" i="1"/>
  <c r="I184" i="1"/>
  <c r="F223" i="1"/>
  <c r="F253" i="1" s="1"/>
  <c r="J183" i="1"/>
  <c r="H187" i="1"/>
  <c r="E43" i="2"/>
  <c r="B226" i="1"/>
  <c r="B256" i="1" s="1"/>
  <c r="L37" i="2"/>
  <c r="K183" i="1"/>
  <c r="H224" i="1"/>
  <c r="H254" i="1" s="1"/>
  <c r="L182" i="1"/>
  <c r="H39" i="2"/>
  <c r="G222" i="1"/>
  <c r="G252" i="1" s="1"/>
  <c r="F40" i="2"/>
  <c r="J222" i="1"/>
  <c r="J252" i="1" s="1"/>
  <c r="D224" i="1"/>
  <c r="E44" i="2"/>
  <c r="I185" i="1"/>
  <c r="F224" i="1"/>
  <c r="F254" i="1" s="1"/>
  <c r="J184" i="1"/>
  <c r="H223" i="1"/>
  <c r="H253" i="1" s="1"/>
  <c r="B227" i="1"/>
  <c r="B257" i="1"/>
  <c r="H188" i="1"/>
  <c r="L38" i="2"/>
  <c r="K184" i="1"/>
  <c r="L183" i="1"/>
  <c r="J40" i="2"/>
  <c r="H40" i="2"/>
  <c r="H41" i="2"/>
  <c r="F41" i="2"/>
  <c r="J223" i="1"/>
  <c r="J253" i="1" s="1"/>
  <c r="I186" i="1"/>
  <c r="D225" i="1"/>
  <c r="D255" i="1" s="1"/>
  <c r="F225" i="1"/>
  <c r="F255" i="1" s="1"/>
  <c r="J185" i="1"/>
  <c r="H225" i="1"/>
  <c r="H255" i="1" s="1"/>
  <c r="H189" i="1"/>
  <c r="C230" i="1" s="1"/>
  <c r="C260" i="1" s="1"/>
  <c r="B228" i="1"/>
  <c r="B258" i="1" s="1"/>
  <c r="E45" i="2"/>
  <c r="L39" i="2"/>
  <c r="K185" i="1"/>
  <c r="L184" i="1"/>
  <c r="J41" i="2"/>
  <c r="H42" i="2"/>
  <c r="J42" i="2"/>
  <c r="F42" i="2"/>
  <c r="L185" i="1"/>
  <c r="J224" i="1"/>
  <c r="J254" i="1" s="1"/>
  <c r="I187" i="1"/>
  <c r="E228" i="1" s="1"/>
  <c r="E258" i="1" s="1"/>
  <c r="D226" i="1"/>
  <c r="D256" i="1" s="1"/>
  <c r="F226" i="1"/>
  <c r="F256" i="1" s="1"/>
  <c r="J186" i="1"/>
  <c r="H226" i="1"/>
  <c r="H256" i="1" s="1"/>
  <c r="E46" i="2"/>
  <c r="H190" i="1"/>
  <c r="B229" i="1"/>
  <c r="L40" i="2"/>
  <c r="K186" i="1"/>
  <c r="H227" i="1"/>
  <c r="H257" i="1" s="1"/>
  <c r="H43" i="2"/>
  <c r="J43" i="2"/>
  <c r="F43" i="2"/>
  <c r="J225" i="1"/>
  <c r="J255" i="1" s="1"/>
  <c r="L186" i="1"/>
  <c r="I188" i="1"/>
  <c r="D227" i="1"/>
  <c r="D257" i="1" s="1"/>
  <c r="J187" i="1"/>
  <c r="F227" i="1"/>
  <c r="F257" i="1" s="1"/>
  <c r="H191" i="1"/>
  <c r="B230" i="1"/>
  <c r="B260" i="1" s="1"/>
  <c r="E47" i="2"/>
  <c r="L41" i="2"/>
  <c r="K187" i="1"/>
  <c r="I228" i="1" s="1"/>
  <c r="I258" i="1" s="1"/>
  <c r="H228" i="1"/>
  <c r="H258" i="1" s="1"/>
  <c r="J44" i="2"/>
  <c r="H44" i="2"/>
  <c r="F44" i="2"/>
  <c r="J226" i="1"/>
  <c r="J256" i="1" s="1"/>
  <c r="L187" i="1"/>
  <c r="I189" i="1"/>
  <c r="D228" i="1"/>
  <c r="D258" i="1" s="1"/>
  <c r="F228" i="1"/>
  <c r="F258" i="1" s="1"/>
  <c r="J188" i="1"/>
  <c r="H192" i="1"/>
  <c r="E48" i="2"/>
  <c r="B231" i="1"/>
  <c r="B261" i="1" s="1"/>
  <c r="L42" i="2"/>
  <c r="K188" i="1"/>
  <c r="H229" i="1"/>
  <c r="H259" i="1" s="1"/>
  <c r="H45" i="2"/>
  <c r="J45" i="2"/>
  <c r="F45" i="2"/>
  <c r="L188" i="1"/>
  <c r="J227" i="1"/>
  <c r="J257" i="1" s="1"/>
  <c r="D229" i="1"/>
  <c r="D259" i="1" s="1"/>
  <c r="I190" i="1"/>
  <c r="F229" i="1"/>
  <c r="J189" i="1"/>
  <c r="B232" i="1"/>
  <c r="B262" i="1" s="1"/>
  <c r="H193" i="1"/>
  <c r="E49" i="2"/>
  <c r="L43" i="2"/>
  <c r="K189" i="1"/>
  <c r="H230" i="1"/>
  <c r="J46" i="2"/>
  <c r="H46" i="2"/>
  <c r="F46" i="2"/>
  <c r="J228" i="1"/>
  <c r="J258" i="1" s="1"/>
  <c r="L189" i="1"/>
  <c r="D230" i="1"/>
  <c r="D260" i="1" s="1"/>
  <c r="I191" i="1"/>
  <c r="J190" i="1"/>
  <c r="F230" i="1"/>
  <c r="B233" i="1"/>
  <c r="B263" i="1" s="1"/>
  <c r="H194" i="1"/>
  <c r="E50" i="2"/>
  <c r="L44" i="2"/>
  <c r="K190" i="1"/>
  <c r="H231" i="1"/>
  <c r="H261" i="1" s="1"/>
  <c r="H47" i="2"/>
  <c r="J47" i="2"/>
  <c r="F47" i="2"/>
  <c r="L190" i="1"/>
  <c r="J229" i="1"/>
  <c r="J259" i="1" s="1"/>
  <c r="D231" i="1"/>
  <c r="E231" i="1" s="1"/>
  <c r="E261" i="1" s="1"/>
  <c r="I192" i="1"/>
  <c r="F231" i="1"/>
  <c r="F261" i="1" s="1"/>
  <c r="J191" i="1"/>
  <c r="E51" i="2"/>
  <c r="H195" i="1"/>
  <c r="B234" i="1"/>
  <c r="B264" i="1" s="1"/>
  <c r="L45" i="2"/>
  <c r="K191" i="1"/>
  <c r="H232" i="1"/>
  <c r="H262" i="1" s="1"/>
  <c r="H48" i="2"/>
  <c r="J48" i="2"/>
  <c r="F48" i="2"/>
  <c r="J230" i="1"/>
  <c r="K230" i="1" s="1"/>
  <c r="K260" i="1" s="1"/>
  <c r="L191" i="1"/>
  <c r="D232" i="1"/>
  <c r="E232" i="1" s="1"/>
  <c r="E262" i="1" s="1"/>
  <c r="I193" i="1"/>
  <c r="J192" i="1"/>
  <c r="F232" i="1"/>
  <c r="F262" i="1" s="1"/>
  <c r="E52" i="2"/>
  <c r="B235" i="1"/>
  <c r="C235" i="1" s="1"/>
  <c r="C265" i="1" s="1"/>
  <c r="H196" i="1"/>
  <c r="L46" i="2"/>
  <c r="K192" i="1"/>
  <c r="H233" i="1"/>
  <c r="H263" i="1" s="1"/>
  <c r="J49" i="2"/>
  <c r="H49" i="2"/>
  <c r="F49" i="2"/>
  <c r="J231" i="1"/>
  <c r="J261" i="1" s="1"/>
  <c r="L192" i="1"/>
  <c r="I194" i="1"/>
  <c r="D233" i="1"/>
  <c r="D263" i="1" s="1"/>
  <c r="F233" i="1"/>
  <c r="F263" i="1" s="1"/>
  <c r="J193" i="1"/>
  <c r="B236" i="1"/>
  <c r="B266" i="1" s="1"/>
  <c r="E53" i="2"/>
  <c r="H197" i="1"/>
  <c r="L47" i="2"/>
  <c r="K193" i="1"/>
  <c r="H234" i="1"/>
  <c r="H264" i="1" s="1"/>
  <c r="H50" i="2"/>
  <c r="J50" i="2"/>
  <c r="F50" i="2"/>
  <c r="J232" i="1"/>
  <c r="J262" i="1" s="1"/>
  <c r="L193" i="1"/>
  <c r="D234" i="1"/>
  <c r="D264" i="1" s="1"/>
  <c r="I195" i="1"/>
  <c r="F234" i="1"/>
  <c r="G234" i="1" s="1"/>
  <c r="G264" i="1" s="1"/>
  <c r="J194" i="1"/>
  <c r="E54" i="2"/>
  <c r="B237" i="1"/>
  <c r="B267" i="1" s="1"/>
  <c r="H198" i="1"/>
  <c r="L48" i="2"/>
  <c r="K194" i="1"/>
  <c r="H235" i="1"/>
  <c r="H265" i="1" s="1"/>
  <c r="J51" i="2"/>
  <c r="H51" i="2"/>
  <c r="F51" i="2"/>
  <c r="J233" i="1"/>
  <c r="K233" i="1" s="1"/>
  <c r="K263" i="1" s="1"/>
  <c r="L194" i="1"/>
  <c r="K235" i="1" s="1"/>
  <c r="K265" i="1" s="1"/>
  <c r="D235" i="1"/>
  <c r="D265" i="1" s="1"/>
  <c r="I196" i="1"/>
  <c r="F235" i="1"/>
  <c r="F265" i="1" s="1"/>
  <c r="J195" i="1"/>
  <c r="G236" i="1" s="1"/>
  <c r="G266" i="1" s="1"/>
  <c r="E55" i="2"/>
  <c r="H199" i="1"/>
  <c r="B238" i="1"/>
  <c r="B268" i="1" s="1"/>
  <c r="L49" i="2"/>
  <c r="K195" i="1"/>
  <c r="J52" i="2"/>
  <c r="H52" i="2"/>
  <c r="F52" i="2"/>
  <c r="L195" i="1"/>
  <c r="J234" i="1"/>
  <c r="J264" i="1" s="1"/>
  <c r="I197" i="1"/>
  <c r="E238" i="1" s="1"/>
  <c r="E268" i="1" s="1"/>
  <c r="D236" i="1"/>
  <c r="D266" i="1" s="1"/>
  <c r="F236" i="1"/>
  <c r="F266" i="1" s="1"/>
  <c r="J196" i="1"/>
  <c r="H200" i="1"/>
  <c r="E56" i="2"/>
  <c r="B239" i="1"/>
  <c r="B269" i="1" s="1"/>
  <c r="L50" i="2"/>
  <c r="K196" i="1"/>
  <c r="H237" i="1"/>
  <c r="J53" i="2"/>
  <c r="H53" i="2"/>
  <c r="F53" i="2"/>
  <c r="J235" i="1"/>
  <c r="J265" i="1" s="1"/>
  <c r="L196" i="1"/>
  <c r="I198" i="1"/>
  <c r="D237" i="1"/>
  <c r="D267" i="1"/>
  <c r="J197" i="1"/>
  <c r="F237" i="1"/>
  <c r="F267" i="1" s="1"/>
  <c r="H236" i="1"/>
  <c r="B241" i="1"/>
  <c r="B271" i="1" s="1"/>
  <c r="E57" i="2"/>
  <c r="B240" i="1"/>
  <c r="B270" i="1" s="1"/>
  <c r="L51" i="2"/>
  <c r="K197" i="1"/>
  <c r="I238" i="1" s="1"/>
  <c r="I268" i="1" s="1"/>
  <c r="H238" i="1"/>
  <c r="H268" i="1" s="1"/>
  <c r="H54" i="2"/>
  <c r="F54" i="2"/>
  <c r="L197" i="1"/>
  <c r="J236" i="1"/>
  <c r="J266" i="1" s="1"/>
  <c r="I199" i="1"/>
  <c r="E240" i="1" s="1"/>
  <c r="E270" i="1" s="1"/>
  <c r="D238" i="1"/>
  <c r="D268" i="1" s="1"/>
  <c r="G237" i="1"/>
  <c r="G267" i="1" s="1"/>
  <c r="F238" i="1"/>
  <c r="F268" i="1" s="1"/>
  <c r="J198" i="1"/>
  <c r="G239" i="1" s="1"/>
  <c r="G269" i="1" s="1"/>
  <c r="E58" i="2"/>
  <c r="E59" i="2"/>
  <c r="L52" i="2"/>
  <c r="K198" i="1"/>
  <c r="H239" i="1"/>
  <c r="H269" i="1" s="1"/>
  <c r="H55" i="2"/>
  <c r="J55" i="2"/>
  <c r="J54" i="2"/>
  <c r="F55" i="2"/>
  <c r="K236" i="1"/>
  <c r="K266" i="1" s="1"/>
  <c r="J237" i="1"/>
  <c r="J267" i="1" s="1"/>
  <c r="L198" i="1"/>
  <c r="D239" i="1"/>
  <c r="D269" i="1" s="1"/>
  <c r="I200" i="1"/>
  <c r="F239" i="1"/>
  <c r="F269" i="1"/>
  <c r="J199" i="1"/>
  <c r="L53" i="2"/>
  <c r="K199" i="1"/>
  <c r="H240" i="1"/>
  <c r="H270" i="1" s="1"/>
  <c r="H56" i="2"/>
  <c r="J56" i="2"/>
  <c r="F56" i="2"/>
  <c r="J238" i="1"/>
  <c r="J268" i="1" s="1"/>
  <c r="L199" i="1"/>
  <c r="D241" i="1"/>
  <c r="D271" i="1" s="1"/>
  <c r="D240" i="1"/>
  <c r="D270" i="1" s="1"/>
  <c r="F240" i="1"/>
  <c r="F270" i="1" s="1"/>
  <c r="L54" i="2"/>
  <c r="K200" i="1"/>
  <c r="H241" i="1"/>
  <c r="H271" i="1" s="1"/>
  <c r="J200" i="1"/>
  <c r="F241" i="1"/>
  <c r="F271" i="1" s="1"/>
  <c r="J57" i="2"/>
  <c r="H57" i="2"/>
  <c r="F57" i="2"/>
  <c r="J239" i="1"/>
  <c r="J269" i="1" s="1"/>
  <c r="L200" i="1"/>
  <c r="L55" i="2"/>
  <c r="H58" i="2"/>
  <c r="J58" i="2"/>
  <c r="F58" i="2"/>
  <c r="F59" i="2"/>
  <c r="J240" i="1"/>
  <c r="K240" i="1" s="1"/>
  <c r="K270" i="1" s="1"/>
  <c r="J241" i="1"/>
  <c r="J271" i="1" s="1"/>
  <c r="L56" i="2"/>
  <c r="H59" i="2"/>
  <c r="J59" i="2"/>
  <c r="L57" i="2"/>
  <c r="L58" i="2"/>
  <c r="L59" i="2"/>
  <c r="G239" i="5" l="1"/>
  <c r="G269" i="5" s="1"/>
  <c r="G229" i="5"/>
  <c r="G259" i="5" s="1"/>
  <c r="G135" i="1"/>
  <c r="H99" i="5"/>
  <c r="I230" i="5"/>
  <c r="I260" i="5" s="1"/>
  <c r="E230" i="5"/>
  <c r="E260" i="5" s="1"/>
  <c r="C227" i="5"/>
  <c r="C257" i="5" s="1"/>
  <c r="B310" i="5" s="1"/>
  <c r="S6" i="44"/>
  <c r="B316" i="5"/>
  <c r="K226" i="5"/>
  <c r="K256" i="5" s="1"/>
  <c r="I223" i="5"/>
  <c r="I253" i="5" s="1"/>
  <c r="B318" i="5"/>
  <c r="K224" i="5"/>
  <c r="K254" i="5" s="1"/>
  <c r="C228" i="5"/>
  <c r="C258" i="5" s="1"/>
  <c r="B311" i="5" s="1"/>
  <c r="I220" i="5"/>
  <c r="I250" i="5" s="1"/>
  <c r="S6" i="6"/>
  <c r="B308" i="5"/>
  <c r="B314" i="5"/>
  <c r="F135" i="1"/>
  <c r="G233" i="5"/>
  <c r="G263" i="5" s="1"/>
  <c r="E229" i="5"/>
  <c r="E259" i="5" s="1"/>
  <c r="K219" i="5"/>
  <c r="K249" i="5" s="1"/>
  <c r="G230" i="5"/>
  <c r="G260" i="5" s="1"/>
  <c r="G223" i="5"/>
  <c r="G253" i="5" s="1"/>
  <c r="E218" i="5"/>
  <c r="E248" i="5" s="1"/>
  <c r="H118" i="1"/>
  <c r="K222" i="5"/>
  <c r="K252" i="5" s="1"/>
  <c r="D153" i="1"/>
  <c r="H153" i="1" s="1"/>
  <c r="I224" i="5"/>
  <c r="I254" i="5" s="1"/>
  <c r="C229" i="5"/>
  <c r="C259" i="5" s="1"/>
  <c r="B312" i="5" s="1"/>
  <c r="B16" i="33"/>
  <c r="B17" i="33" s="1"/>
  <c r="B18" i="33" s="1"/>
  <c r="B19" i="33"/>
  <c r="H218" i="1"/>
  <c r="H248" i="1" s="1"/>
  <c r="D218" i="1"/>
  <c r="D248" i="1" s="1"/>
  <c r="K218" i="1"/>
  <c r="K248" i="1" s="1"/>
  <c r="I236" i="1"/>
  <c r="I266" i="1" s="1"/>
  <c r="I232" i="1"/>
  <c r="I262" i="1" s="1"/>
  <c r="K224" i="1"/>
  <c r="K254" i="1" s="1"/>
  <c r="K226" i="1"/>
  <c r="K256" i="1" s="1"/>
  <c r="G230" i="1"/>
  <c r="G260" i="1" s="1"/>
  <c r="G227" i="1"/>
  <c r="G257" i="1" s="1"/>
  <c r="E223" i="1"/>
  <c r="E253" i="1" s="1"/>
  <c r="C234" i="1"/>
  <c r="C264" i="1" s="1"/>
  <c r="B317" i="1" s="1"/>
  <c r="C240" i="1"/>
  <c r="C270" i="1" s="1"/>
  <c r="G235" i="1"/>
  <c r="G265" i="1" s="1"/>
  <c r="I223" i="1"/>
  <c r="I253" i="1" s="1"/>
  <c r="I221" i="1"/>
  <c r="I251" i="1" s="1"/>
  <c r="I220" i="1"/>
  <c r="I250" i="1" s="1"/>
  <c r="J270" i="1"/>
  <c r="K241" i="1"/>
  <c r="K271" i="1" s="1"/>
  <c r="K237" i="1"/>
  <c r="K267" i="1" s="1"/>
  <c r="K229" i="1"/>
  <c r="K259" i="1" s="1"/>
  <c r="I229" i="1"/>
  <c r="I259" i="1" s="1"/>
  <c r="K219" i="1"/>
  <c r="K249" i="1" s="1"/>
  <c r="C221" i="1"/>
  <c r="C251" i="1" s="1"/>
  <c r="B88" i="1"/>
  <c r="K223" i="1"/>
  <c r="K253" i="1" s="1"/>
  <c r="K220" i="1"/>
  <c r="K250" i="1" s="1"/>
  <c r="C222" i="1"/>
  <c r="C252" i="1" s="1"/>
  <c r="B305" i="1" s="1"/>
  <c r="C220" i="1"/>
  <c r="C250" i="1" s="1"/>
  <c r="B47" i="1"/>
  <c r="G228" i="1"/>
  <c r="G258" i="1" s="1"/>
  <c r="B99" i="1"/>
  <c r="B55" i="1"/>
  <c r="I234" i="1"/>
  <c r="I264" i="1" s="1"/>
  <c r="C229" i="1"/>
  <c r="C259" i="1" s="1"/>
  <c r="I219" i="1"/>
  <c r="I249" i="1" s="1"/>
  <c r="K238" i="1"/>
  <c r="K268" i="1" s="1"/>
  <c r="I230" i="1"/>
  <c r="I260" i="1" s="1"/>
  <c r="G229" i="1"/>
  <c r="G259" i="1" s="1"/>
  <c r="K228" i="1"/>
  <c r="K258" i="1" s="1"/>
  <c r="C231" i="1"/>
  <c r="C261" i="1" s="1"/>
  <c r="J99" i="1"/>
  <c r="C233" i="1"/>
  <c r="C263" i="1" s="1"/>
  <c r="B316" i="1" s="1"/>
  <c r="B313" i="1"/>
  <c r="G224" i="1"/>
  <c r="G254" i="1" s="1"/>
  <c r="G225" i="1"/>
  <c r="G255" i="1" s="1"/>
  <c r="G221" i="1"/>
  <c r="G251" i="1" s="1"/>
  <c r="E219" i="1"/>
  <c r="E249" i="1" s="1"/>
  <c r="H266" i="1"/>
  <c r="C239" i="1"/>
  <c r="C269" i="1" s="1"/>
  <c r="E221" i="1"/>
  <c r="E251" i="1" s="1"/>
  <c r="I218" i="1"/>
  <c r="I248" i="1" s="1"/>
  <c r="F99" i="1"/>
  <c r="B5" i="1"/>
  <c r="I235" i="1"/>
  <c r="I265" i="1" s="1"/>
  <c r="E236" i="1"/>
  <c r="E266" i="1" s="1"/>
  <c r="B265" i="1"/>
  <c r="B318" i="1" s="1"/>
  <c r="K232" i="1"/>
  <c r="K262" i="1" s="1"/>
  <c r="E233" i="1"/>
  <c r="E263" i="1" s="1"/>
  <c r="E229" i="1"/>
  <c r="E259" i="1" s="1"/>
  <c r="C226" i="1"/>
  <c r="C256" i="1" s="1"/>
  <c r="B309" i="1" s="1"/>
  <c r="C227" i="1"/>
  <c r="C257" i="1" s="1"/>
  <c r="B310" i="1" s="1"/>
  <c r="C223" i="1"/>
  <c r="C253" i="1" s="1"/>
  <c r="H99" i="1"/>
  <c r="B53" i="1"/>
  <c r="B50" i="1"/>
  <c r="K239" i="1"/>
  <c r="K269" i="1" s="1"/>
  <c r="G238" i="1"/>
  <c r="G268" i="1" s="1"/>
  <c r="J263" i="1"/>
  <c r="J260" i="1"/>
  <c r="D261" i="1"/>
  <c r="F260" i="1"/>
  <c r="F259" i="1"/>
  <c r="E226" i="1"/>
  <c r="E256" i="1" s="1"/>
  <c r="C228" i="1"/>
  <c r="C258" i="1" s="1"/>
  <c r="B311" i="1" s="1"/>
  <c r="E225" i="1"/>
  <c r="E255" i="1" s="1"/>
  <c r="I224" i="1"/>
  <c r="I254" i="1" s="1"/>
  <c r="C225" i="1"/>
  <c r="C255" i="1" s="1"/>
  <c r="B308" i="1" s="1"/>
  <c r="H251" i="1"/>
  <c r="B49" i="1"/>
  <c r="C8" i="1"/>
  <c r="C6" i="1" s="1"/>
  <c r="C18" i="1" s="1"/>
  <c r="I226" i="1"/>
  <c r="I256" i="1" s="1"/>
  <c r="B52" i="1"/>
  <c r="B56" i="1" s="1"/>
  <c r="B247" i="1" s="1"/>
  <c r="E206" i="1"/>
  <c r="E207" i="1" s="1"/>
  <c r="G241" i="1"/>
  <c r="G271" i="1" s="1"/>
  <c r="G240" i="1"/>
  <c r="G270" i="1" s="1"/>
  <c r="K234" i="1"/>
  <c r="K264" i="1" s="1"/>
  <c r="G231" i="1"/>
  <c r="G261" i="1" s="1"/>
  <c r="B314" i="1"/>
  <c r="K227" i="1"/>
  <c r="K257" i="1" s="1"/>
  <c r="B89" i="1"/>
  <c r="C11" i="1"/>
  <c r="C12" i="1" s="1"/>
  <c r="I237" i="1"/>
  <c r="I267" i="1" s="1"/>
  <c r="C238" i="1"/>
  <c r="C268" i="1" s="1"/>
  <c r="B321" i="1" s="1"/>
  <c r="I233" i="1"/>
  <c r="I263" i="1" s="1"/>
  <c r="E227" i="1"/>
  <c r="E257" i="1" s="1"/>
  <c r="I225" i="1"/>
  <c r="I255" i="1" s="1"/>
  <c r="B51" i="1"/>
  <c r="E208" i="1"/>
  <c r="E209" i="1" s="1"/>
  <c r="C25" i="1"/>
  <c r="C26" i="1" s="1"/>
  <c r="I240" i="1"/>
  <c r="I270" i="1" s="1"/>
  <c r="I239" i="1"/>
  <c r="I269" i="1" s="1"/>
  <c r="E241" i="1"/>
  <c r="E271" i="1" s="1"/>
  <c r="E239" i="1"/>
  <c r="E269" i="1" s="1"/>
  <c r="E237" i="1"/>
  <c r="E267" i="1" s="1"/>
  <c r="C236" i="1"/>
  <c r="C266" i="1" s="1"/>
  <c r="B319" i="1" s="1"/>
  <c r="E235" i="1"/>
  <c r="E265" i="1" s="1"/>
  <c r="G233" i="1"/>
  <c r="G263" i="1" s="1"/>
  <c r="E230" i="1"/>
  <c r="E260" i="1" s="1"/>
  <c r="B259" i="1"/>
  <c r="B48" i="1"/>
  <c r="I241" i="1"/>
  <c r="I271" i="1" s="1"/>
  <c r="E234" i="1"/>
  <c r="E264" i="1" s="1"/>
  <c r="G232" i="1"/>
  <c r="G262" i="1" s="1"/>
  <c r="K231" i="1"/>
  <c r="K261" i="1" s="1"/>
  <c r="H260" i="1"/>
  <c r="G219" i="1"/>
  <c r="G249" i="1" s="1"/>
  <c r="D99" i="1"/>
  <c r="B54" i="1"/>
  <c r="B86" i="1"/>
  <c r="G218" i="1"/>
  <c r="G248" i="1" s="1"/>
  <c r="B19" i="5"/>
  <c r="B23" i="5"/>
  <c r="B22" i="25"/>
  <c r="B24" i="25" s="1"/>
  <c r="B18" i="25"/>
  <c r="B20" i="25" s="1"/>
  <c r="B17" i="25"/>
  <c r="B23" i="29"/>
  <c r="B19" i="29"/>
  <c r="B17" i="21"/>
  <c r="B16" i="13"/>
  <c r="B16" i="37"/>
  <c r="B23" i="21"/>
  <c r="B23" i="37"/>
  <c r="B22" i="21"/>
  <c r="B19" i="13"/>
  <c r="C21" i="21"/>
  <c r="C22" i="21" s="1"/>
  <c r="B21" i="21" s="1"/>
  <c r="B19" i="21"/>
  <c r="B20" i="21" s="1"/>
  <c r="B17" i="5"/>
  <c r="B18" i="5" s="1"/>
  <c r="B20" i="5" s="1"/>
  <c r="C21" i="5"/>
  <c r="C22" i="5" s="1"/>
  <c r="B21" i="5" s="1"/>
  <c r="B22" i="5" s="1"/>
  <c r="B17" i="29"/>
  <c r="C21" i="29"/>
  <c r="C22" i="29" s="1"/>
  <c r="B21" i="29" s="1"/>
  <c r="B22" i="29"/>
  <c r="B18" i="29"/>
  <c r="B16" i="17"/>
  <c r="B19" i="17"/>
  <c r="B19" i="9"/>
  <c r="B23" i="1"/>
  <c r="B322" i="1"/>
  <c r="B323" i="1"/>
  <c r="C241" i="1"/>
  <c r="C271" i="1" s="1"/>
  <c r="B324" i="1" s="1"/>
  <c r="I231" i="1"/>
  <c r="I261" i="1" s="1"/>
  <c r="I227" i="1"/>
  <c r="I257" i="1" s="1"/>
  <c r="H267" i="1"/>
  <c r="F264" i="1"/>
  <c r="D262" i="1"/>
  <c r="K225" i="1"/>
  <c r="K255" i="1" s="1"/>
  <c r="G226" i="1"/>
  <c r="G256" i="1" s="1"/>
  <c r="D254" i="1"/>
  <c r="E224" i="1"/>
  <c r="E254" i="1" s="1"/>
  <c r="I222" i="1"/>
  <c r="I252" i="1" s="1"/>
  <c r="B306" i="1"/>
  <c r="F250" i="1"/>
  <c r="G220" i="1"/>
  <c r="G250" i="1" s="1"/>
  <c r="C237" i="1"/>
  <c r="C267" i="1" s="1"/>
  <c r="B320" i="1" s="1"/>
  <c r="C224" i="1"/>
  <c r="C254" i="1" s="1"/>
  <c r="B307" i="1" s="1"/>
  <c r="C232" i="1"/>
  <c r="C262" i="1" s="1"/>
  <c r="B315" i="1" s="1"/>
  <c r="E220" i="1"/>
  <c r="E250" i="1" s="1"/>
  <c r="E218" i="1"/>
  <c r="E248" i="1" s="1"/>
  <c r="G154" i="1"/>
  <c r="S121" i="2"/>
  <c r="C219" i="1"/>
  <c r="C249" i="1" s="1"/>
  <c r="E154" i="1"/>
  <c r="H142" i="1"/>
  <c r="F259" i="13"/>
  <c r="G229" i="13"/>
  <c r="G259" i="13" s="1"/>
  <c r="H258" i="17"/>
  <c r="I228" i="17"/>
  <c r="I258" i="17" s="1"/>
  <c r="E235" i="9"/>
  <c r="E265" i="9" s="1"/>
  <c r="H149" i="1"/>
  <c r="E239" i="29"/>
  <c r="E269" i="29" s="1"/>
  <c r="H259" i="29"/>
  <c r="I229" i="29"/>
  <c r="I259" i="29" s="1"/>
  <c r="E231" i="25"/>
  <c r="E261" i="25" s="1"/>
  <c r="K227" i="17"/>
  <c r="K257" i="17" s="1"/>
  <c r="J257" i="17"/>
  <c r="I229" i="5"/>
  <c r="I259" i="5" s="1"/>
  <c r="H259" i="5"/>
  <c r="F311" i="17"/>
  <c r="G229" i="17"/>
  <c r="G259" i="17" s="1"/>
  <c r="F259" i="17"/>
  <c r="F312" i="17" s="1"/>
  <c r="F312" i="29"/>
  <c r="E228" i="17"/>
  <c r="E258" i="17" s="1"/>
  <c r="D311" i="17" s="1"/>
  <c r="J355" i="13"/>
  <c r="J381" i="13"/>
  <c r="J402" i="21"/>
  <c r="J376" i="21"/>
  <c r="J399" i="13"/>
  <c r="J373" i="13"/>
  <c r="J363" i="13"/>
  <c r="J389" i="13"/>
  <c r="H115" i="1"/>
  <c r="H110" i="1"/>
  <c r="H106" i="1"/>
  <c r="J398" i="13"/>
  <c r="J372" i="13"/>
  <c r="J359" i="13"/>
  <c r="J385" i="13"/>
  <c r="J389" i="17"/>
  <c r="J363" i="17"/>
  <c r="J362" i="21"/>
  <c r="J372" i="17"/>
  <c r="C220" i="21"/>
  <c r="C250" i="21" s="1"/>
  <c r="B303" i="21"/>
  <c r="L170" i="33"/>
  <c r="L164" i="33"/>
  <c r="O161" i="34" s="1"/>
  <c r="L166" i="33"/>
  <c r="L169" i="33"/>
  <c r="C177" i="33"/>
  <c r="L173" i="33"/>
  <c r="O170" i="34" s="1"/>
  <c r="L171" i="33"/>
  <c r="D7" i="33"/>
  <c r="D28" i="33"/>
  <c r="D29" i="33" s="1"/>
  <c r="D30" i="33" s="1"/>
  <c r="C7" i="37"/>
  <c r="C17" i="37"/>
  <c r="C18" i="37"/>
  <c r="C9" i="37"/>
  <c r="G210" i="13"/>
  <c r="C18" i="5"/>
  <c r="C17" i="5"/>
  <c r="N166" i="38"/>
  <c r="N168" i="38"/>
  <c r="N160" i="38"/>
  <c r="N164" i="38"/>
  <c r="N162" i="38"/>
  <c r="N165" i="38"/>
  <c r="N170" i="38"/>
  <c r="N169" i="38"/>
  <c r="N159" i="38"/>
  <c r="N163" i="38"/>
  <c r="N161" i="38"/>
  <c r="N167" i="38"/>
  <c r="D5" i="37"/>
  <c r="D19" i="37"/>
  <c r="O6" i="38"/>
  <c r="E2" i="37"/>
  <c r="E3" i="37"/>
  <c r="E2" i="33"/>
  <c r="E4" i="33" s="1"/>
  <c r="O6" i="34"/>
  <c r="D19" i="33"/>
  <c r="K162" i="33"/>
  <c r="K163" i="33"/>
  <c r="K171" i="33"/>
  <c r="C9" i="33"/>
  <c r="K168" i="33"/>
  <c r="C10" i="33"/>
  <c r="K173" i="33"/>
  <c r="C28" i="33"/>
  <c r="C7" i="33"/>
  <c r="K169" i="33"/>
  <c r="C27" i="33"/>
  <c r="C29" i="33" s="1"/>
  <c r="C30" i="33" s="1"/>
  <c r="K172" i="33"/>
  <c r="N169" i="34" s="1"/>
  <c r="K165" i="33"/>
  <c r="N162" i="34" s="1"/>
  <c r="K167" i="33"/>
  <c r="K170" i="33"/>
  <c r="K164" i="33"/>
  <c r="N161" i="34" s="1"/>
  <c r="K166" i="33"/>
  <c r="N163" i="34" s="1"/>
  <c r="B177" i="33"/>
  <c r="C18" i="33"/>
  <c r="C17" i="33"/>
  <c r="H233" i="5"/>
  <c r="J237" i="5"/>
  <c r="B241" i="5"/>
  <c r="B271" i="5" s="1"/>
  <c r="J241" i="5"/>
  <c r="D235" i="9"/>
  <c r="D265" i="9" s="1"/>
  <c r="E142" i="13"/>
  <c r="B230" i="13"/>
  <c r="B260" i="13" s="1"/>
  <c r="D222" i="9"/>
  <c r="H235" i="13"/>
  <c r="H265" i="13" s="1"/>
  <c r="H241" i="13"/>
  <c r="H271" i="13" s="1"/>
  <c r="J241" i="17"/>
  <c r="J271" i="17" s="1"/>
  <c r="H241" i="17"/>
  <c r="H271" i="17" s="1"/>
  <c r="D241" i="17"/>
  <c r="D140" i="29"/>
  <c r="G146" i="33"/>
  <c r="D146" i="33"/>
  <c r="E146" i="33"/>
  <c r="J233" i="5"/>
  <c r="B237" i="5"/>
  <c r="D241" i="5"/>
  <c r="D271" i="5" s="1"/>
  <c r="D153" i="21"/>
  <c r="F153" i="21"/>
  <c r="D140" i="33"/>
  <c r="G140" i="33"/>
  <c r="F153" i="25"/>
  <c r="E153" i="25"/>
  <c r="H231" i="25"/>
  <c r="D231" i="25"/>
  <c r="D261" i="25" s="1"/>
  <c r="D237" i="5"/>
  <c r="D267" i="5" s="1"/>
  <c r="F241" i="5"/>
  <c r="F271" i="5" s="1"/>
  <c r="D231" i="9"/>
  <c r="D221" i="25"/>
  <c r="D251" i="25" s="1"/>
  <c r="H221" i="25"/>
  <c r="J239" i="29"/>
  <c r="J269" i="29" s="1"/>
  <c r="F239" i="29"/>
  <c r="F269" i="29" s="1"/>
  <c r="D239" i="29"/>
  <c r="D269" i="29" s="1"/>
  <c r="B239" i="29"/>
  <c r="B269" i="29" s="1"/>
  <c r="E140" i="33"/>
  <c r="E154" i="33" s="1"/>
  <c r="J231" i="29"/>
  <c r="H231" i="29"/>
  <c r="D231" i="29"/>
  <c r="F231" i="29"/>
  <c r="F261" i="29" s="1"/>
  <c r="B231" i="29"/>
  <c r="B261" i="29" s="1"/>
  <c r="H235" i="17"/>
  <c r="D235" i="17"/>
  <c r="D265" i="17" s="1"/>
  <c r="H233" i="25"/>
  <c r="H263" i="25" s="1"/>
  <c r="D233" i="25"/>
  <c r="J231" i="21"/>
  <c r="J261" i="21" s="1"/>
  <c r="H231" i="21"/>
  <c r="H261" i="21" s="1"/>
  <c r="F231" i="21"/>
  <c r="F261" i="21" s="1"/>
  <c r="B231" i="21"/>
  <c r="D231" i="21"/>
  <c r="D219" i="25"/>
  <c r="H219" i="25"/>
  <c r="H249" i="25" s="1"/>
  <c r="E153" i="33"/>
  <c r="D153" i="33"/>
  <c r="G153" i="33"/>
  <c r="H233" i="17"/>
  <c r="H263" i="17" s="1"/>
  <c r="J232" i="29"/>
  <c r="F232" i="29"/>
  <c r="J234" i="29"/>
  <c r="F234" i="29"/>
  <c r="F264" i="29" s="1"/>
  <c r="H219" i="33"/>
  <c r="H249" i="33" s="1"/>
  <c r="F219" i="33"/>
  <c r="F249" i="33" s="1"/>
  <c r="F141" i="37"/>
  <c r="F154" i="37" s="1"/>
  <c r="D141" i="37"/>
  <c r="D151" i="37"/>
  <c r="H151" i="37" s="1"/>
  <c r="D131" i="37"/>
  <c r="H239" i="17"/>
  <c r="D235" i="21"/>
  <c r="H237" i="25"/>
  <c r="H267" i="25" s="1"/>
  <c r="F227" i="29"/>
  <c r="F257" i="29" s="1"/>
  <c r="H238" i="29"/>
  <c r="H268" i="29" s="1"/>
  <c r="F238" i="29"/>
  <c r="G148" i="33"/>
  <c r="H148" i="33" s="1"/>
  <c r="G141" i="33"/>
  <c r="D141" i="33"/>
  <c r="D230" i="21"/>
  <c r="H232" i="21"/>
  <c r="F234" i="21"/>
  <c r="F264" i="21" s="1"/>
  <c r="J236" i="21"/>
  <c r="J230" i="29"/>
  <c r="J260" i="29" s="1"/>
  <c r="B232" i="29"/>
  <c r="H233" i="29"/>
  <c r="D233" i="29"/>
  <c r="F235" i="29"/>
  <c r="F265" i="29" s="1"/>
  <c r="B235" i="29"/>
  <c r="H218" i="33"/>
  <c r="H248" i="33" s="1"/>
  <c r="D218" i="33"/>
  <c r="D248" i="33" s="1"/>
  <c r="F130" i="37"/>
  <c r="H130" i="37" s="1"/>
  <c r="D149" i="37"/>
  <c r="H149" i="37" s="1"/>
  <c r="S85" i="34"/>
  <c r="H111" i="37"/>
  <c r="B230" i="29"/>
  <c r="B260" i="29" s="1"/>
  <c r="D232" i="29"/>
  <c r="B234" i="29"/>
  <c r="C124" i="33"/>
  <c r="H124" i="33" s="1"/>
  <c r="C131" i="33"/>
  <c r="H131" i="33" s="1"/>
  <c r="F162" i="33"/>
  <c r="D219" i="33"/>
  <c r="D249" i="33" s="1"/>
  <c r="D133" i="37"/>
  <c r="H133" i="37" s="1"/>
  <c r="K164" i="9"/>
  <c r="K172" i="9"/>
  <c r="K162" i="9"/>
  <c r="K167" i="9"/>
  <c r="C9" i="9"/>
  <c r="C10" i="9" s="1"/>
  <c r="K170" i="9"/>
  <c r="K165" i="9"/>
  <c r="K173" i="9"/>
  <c r="C27" i="9"/>
  <c r="C29" i="9" s="1"/>
  <c r="C30" i="9" s="1"/>
  <c r="K163" i="9"/>
  <c r="K171" i="9"/>
  <c r="K166" i="9"/>
  <c r="K168" i="9"/>
  <c r="C28" i="9"/>
  <c r="K169" i="9"/>
  <c r="H236" i="29"/>
  <c r="F236" i="29"/>
  <c r="C123" i="33"/>
  <c r="C129" i="33"/>
  <c r="H129" i="33" s="1"/>
  <c r="C132" i="33"/>
  <c r="H132" i="33" s="1"/>
  <c r="F134" i="37"/>
  <c r="H134" i="37" s="1"/>
  <c r="F122" i="37"/>
  <c r="D147" i="37"/>
  <c r="H147" i="37" s="1"/>
  <c r="G3" i="9"/>
  <c r="G19" i="9" s="1"/>
  <c r="F3" i="9"/>
  <c r="F19" i="9" s="1"/>
  <c r="D4" i="9"/>
  <c r="D3" i="9"/>
  <c r="H222" i="33"/>
  <c r="H252" i="33" s="1"/>
  <c r="F230" i="33"/>
  <c r="F260" i="33" s="1"/>
  <c r="J238" i="33"/>
  <c r="J268" i="33" s="1"/>
  <c r="C128" i="37"/>
  <c r="C8" i="9"/>
  <c r="C6" i="9"/>
  <c r="B222" i="33"/>
  <c r="B252" i="33" s="1"/>
  <c r="E3" i="9"/>
  <c r="E19" i="9" s="1"/>
  <c r="D135" i="1"/>
  <c r="H135" i="1" s="1"/>
  <c r="B16" i="9"/>
  <c r="C132" i="1"/>
  <c r="H132" i="1" s="1"/>
  <c r="S108" i="44"/>
  <c r="C3" i="5"/>
  <c r="N6" i="44" s="1"/>
  <c r="N4" i="44"/>
  <c r="D134" i="1"/>
  <c r="H134" i="1" s="1"/>
  <c r="S71" i="44"/>
  <c r="N38" i="44"/>
  <c r="N37" i="44"/>
  <c r="B17" i="1"/>
  <c r="B18" i="1" s="1"/>
  <c r="B20" i="1" s="1"/>
  <c r="C21" i="1"/>
  <c r="C22" i="1" s="1"/>
  <c r="B21" i="1" s="1"/>
  <c r="B22" i="1" s="1"/>
  <c r="O35" i="44"/>
  <c r="N35" i="6"/>
  <c r="B20" i="33" l="1"/>
  <c r="D333" i="33" s="1"/>
  <c r="C21" i="33"/>
  <c r="C22" i="33" s="1"/>
  <c r="B21" i="33" s="1"/>
  <c r="B22" i="33" s="1"/>
  <c r="B24" i="33" s="1"/>
  <c r="D346" i="33"/>
  <c r="D398" i="33" s="1"/>
  <c r="O10" i="34"/>
  <c r="O38" i="34" s="1"/>
  <c r="D341" i="33"/>
  <c r="H16" i="36" s="1"/>
  <c r="D337" i="33"/>
  <c r="O14" i="34"/>
  <c r="O42" i="34" s="1"/>
  <c r="D348" i="33"/>
  <c r="H23" i="36" s="1"/>
  <c r="D330" i="33"/>
  <c r="D356" i="33" s="1"/>
  <c r="D349" i="33"/>
  <c r="H24" i="36" s="1"/>
  <c r="O30" i="34"/>
  <c r="O58" i="34" s="1"/>
  <c r="D344" i="33"/>
  <c r="H19" i="36" s="1"/>
  <c r="D343" i="33"/>
  <c r="D395" i="33" s="1"/>
  <c r="B24" i="5"/>
  <c r="B312" i="1"/>
  <c r="C3" i="1"/>
  <c r="S2" i="2"/>
  <c r="N4" i="2"/>
  <c r="C17" i="1"/>
  <c r="B337" i="33"/>
  <c r="G12" i="36" s="1"/>
  <c r="B24" i="29"/>
  <c r="D340" i="33"/>
  <c r="D392" i="33" s="1"/>
  <c r="D347" i="33"/>
  <c r="D373" i="33" s="1"/>
  <c r="O12" i="34"/>
  <c r="O40" i="34" s="1"/>
  <c r="D328" i="33"/>
  <c r="H3" i="36" s="1"/>
  <c r="O15" i="34"/>
  <c r="O43" i="34" s="1"/>
  <c r="N19" i="34"/>
  <c r="N47" i="34" s="1"/>
  <c r="D331" i="33"/>
  <c r="D383" i="33" s="1"/>
  <c r="O16" i="34"/>
  <c r="O44" i="34" s="1"/>
  <c r="O21" i="34"/>
  <c r="O49" i="34" s="1"/>
  <c r="O25" i="34"/>
  <c r="O53" i="34" s="1"/>
  <c r="D334" i="33"/>
  <c r="H9" i="36" s="1"/>
  <c r="D336" i="33"/>
  <c r="D362" i="33" s="1"/>
  <c r="O24" i="34"/>
  <c r="O52" i="34" s="1"/>
  <c r="D350" i="33"/>
  <c r="D376" i="33" s="1"/>
  <c r="O9" i="34"/>
  <c r="O37" i="34" s="1"/>
  <c r="O26" i="34"/>
  <c r="O54" i="34" s="1"/>
  <c r="O17" i="34"/>
  <c r="O45" i="34" s="1"/>
  <c r="O11" i="34"/>
  <c r="O39" i="34" s="1"/>
  <c r="D342" i="33"/>
  <c r="H17" i="36" s="1"/>
  <c r="N11" i="34"/>
  <c r="N39" i="34" s="1"/>
  <c r="O28" i="34"/>
  <c r="O56" i="34" s="1"/>
  <c r="O20" i="34"/>
  <c r="O48" i="34" s="1"/>
  <c r="O27" i="34"/>
  <c r="O55" i="34" s="1"/>
  <c r="O31" i="34"/>
  <c r="O59" i="34" s="1"/>
  <c r="D338" i="33"/>
  <c r="D364" i="33" s="1"/>
  <c r="O8" i="34"/>
  <c r="O36" i="34" s="1"/>
  <c r="B20" i="29"/>
  <c r="B24" i="1"/>
  <c r="F173" i="1" s="1"/>
  <c r="B24" i="21"/>
  <c r="B17" i="37"/>
  <c r="B18" i="37" s="1"/>
  <c r="B20" i="37" s="1"/>
  <c r="N28" i="38" s="1"/>
  <c r="C21" i="37"/>
  <c r="C22" i="37" s="1"/>
  <c r="B21" i="37" s="1"/>
  <c r="B22" i="37" s="1"/>
  <c r="B24" i="37" s="1"/>
  <c r="B17" i="13"/>
  <c r="B18" i="13"/>
  <c r="B20" i="13" s="1"/>
  <c r="C21" i="13"/>
  <c r="C22" i="13" s="1"/>
  <c r="B21" i="13" s="1"/>
  <c r="B22" i="13"/>
  <c r="B24" i="13" s="1"/>
  <c r="H13" i="36"/>
  <c r="B17" i="17"/>
  <c r="B18" i="17"/>
  <c r="B20" i="17" s="1"/>
  <c r="C21" i="17"/>
  <c r="C22" i="17" s="1"/>
  <c r="B21" i="17" s="1"/>
  <c r="B22" i="17"/>
  <c r="B24" i="17" s="1"/>
  <c r="H12" i="36"/>
  <c r="D389" i="33"/>
  <c r="D363" i="33"/>
  <c r="D375" i="33"/>
  <c r="F50" i="33"/>
  <c r="F48" i="33"/>
  <c r="F51" i="33"/>
  <c r="E8" i="33"/>
  <c r="E6" i="33" s="1"/>
  <c r="F89" i="33"/>
  <c r="F88" i="33"/>
  <c r="F49" i="33"/>
  <c r="F54" i="33"/>
  <c r="F86" i="33"/>
  <c r="F97" i="33" s="1"/>
  <c r="E11" i="33"/>
  <c r="E12" i="33" s="1"/>
  <c r="F52" i="33"/>
  <c r="F56" i="33" s="1"/>
  <c r="F247" i="33" s="1"/>
  <c r="F47" i="33"/>
  <c r="F53" i="33"/>
  <c r="F55" i="33"/>
  <c r="E211" i="9"/>
  <c r="C14" i="9"/>
  <c r="E205" i="9" s="1"/>
  <c r="E213" i="9"/>
  <c r="D260" i="21"/>
  <c r="E230" i="21"/>
  <c r="E260" i="21" s="1"/>
  <c r="B335" i="33"/>
  <c r="I233" i="25"/>
  <c r="I263" i="25" s="1"/>
  <c r="C5" i="5"/>
  <c r="C136" i="37"/>
  <c r="H128" i="37"/>
  <c r="D263" i="29"/>
  <c r="E233" i="29"/>
  <c r="E263" i="29" s="1"/>
  <c r="H141" i="33"/>
  <c r="H269" i="17"/>
  <c r="H322" i="17" s="1"/>
  <c r="I239" i="17"/>
  <c r="I269" i="17" s="1"/>
  <c r="J264" i="29"/>
  <c r="K234" i="29"/>
  <c r="K264" i="29" s="1"/>
  <c r="D249" i="25"/>
  <c r="D302" i="25" s="1"/>
  <c r="E219" i="25"/>
  <c r="E249" i="25" s="1"/>
  <c r="D271" i="17"/>
  <c r="D324" i="17" s="1"/>
  <c r="E241" i="17"/>
  <c r="E271" i="17" s="1"/>
  <c r="B346" i="33"/>
  <c r="B349" i="33"/>
  <c r="B345" i="33"/>
  <c r="N165" i="34"/>
  <c r="B350" i="33"/>
  <c r="E25" i="37"/>
  <c r="P6" i="38"/>
  <c r="G206" i="37"/>
  <c r="G208" i="37"/>
  <c r="N12" i="34"/>
  <c r="N21" i="34"/>
  <c r="N9" i="34"/>
  <c r="E210" i="37"/>
  <c r="E212" i="37"/>
  <c r="E34" i="38"/>
  <c r="C10" i="37"/>
  <c r="C13" i="37"/>
  <c r="C178" i="33"/>
  <c r="I177" i="33"/>
  <c r="E218" i="33" s="1"/>
  <c r="E248" i="33" s="1"/>
  <c r="C241" i="5"/>
  <c r="C271" i="5" s="1"/>
  <c r="B324" i="5" s="1"/>
  <c r="G235" i="29"/>
  <c r="G265" i="29" s="1"/>
  <c r="C239" i="29"/>
  <c r="C269" i="29" s="1"/>
  <c r="B322" i="29" s="1"/>
  <c r="K239" i="29"/>
  <c r="K269" i="29" s="1"/>
  <c r="I241" i="13"/>
  <c r="I271" i="13" s="1"/>
  <c r="E19" i="37"/>
  <c r="N8" i="34"/>
  <c r="H122" i="37"/>
  <c r="F136" i="37"/>
  <c r="H263" i="29"/>
  <c r="I233" i="29"/>
  <c r="I263" i="29" s="1"/>
  <c r="H131" i="37"/>
  <c r="D136" i="37"/>
  <c r="F262" i="29"/>
  <c r="G232" i="29"/>
  <c r="G262" i="29" s="1"/>
  <c r="D261" i="21"/>
  <c r="E231" i="21"/>
  <c r="E261" i="21" s="1"/>
  <c r="H265" i="17"/>
  <c r="I235" i="17"/>
  <c r="I265" i="17" s="1"/>
  <c r="D322" i="29"/>
  <c r="D314" i="25"/>
  <c r="B332" i="33"/>
  <c r="B330" i="33"/>
  <c r="C51" i="33"/>
  <c r="B63" i="33" s="1"/>
  <c r="C49" i="33"/>
  <c r="B61" i="33" s="1"/>
  <c r="C89" i="33"/>
  <c r="C50" i="33"/>
  <c r="B62" i="33" s="1"/>
  <c r="C53" i="33"/>
  <c r="B65" i="33" s="1"/>
  <c r="C88" i="33"/>
  <c r="C48" i="33"/>
  <c r="B60" i="33" s="1"/>
  <c r="C86" i="33"/>
  <c r="C97" i="33" s="1"/>
  <c r="C52" i="33"/>
  <c r="C55" i="33"/>
  <c r="B67" i="33" s="1"/>
  <c r="C54" i="33"/>
  <c r="B66" i="33" s="1"/>
  <c r="C47" i="33"/>
  <c r="B59" i="33" s="1"/>
  <c r="B344" i="33"/>
  <c r="N160" i="34"/>
  <c r="N10" i="34"/>
  <c r="N23" i="34"/>
  <c r="N18" i="34"/>
  <c r="O166" i="34"/>
  <c r="K230" i="29"/>
  <c r="K260" i="29" s="1"/>
  <c r="G239" i="29"/>
  <c r="G269" i="29" s="1"/>
  <c r="I235" i="13"/>
  <c r="I265" i="13" s="1"/>
  <c r="K231" i="21"/>
  <c r="K261" i="21" s="1"/>
  <c r="I241" i="17"/>
  <c r="I271" i="17" s="1"/>
  <c r="H324" i="17" s="1"/>
  <c r="F318" i="29"/>
  <c r="D265" i="21"/>
  <c r="E235" i="21"/>
  <c r="E265" i="21" s="1"/>
  <c r="N26" i="34"/>
  <c r="B18" i="9"/>
  <c r="B20" i="9" s="1"/>
  <c r="C21" i="9"/>
  <c r="C22" i="9" s="1"/>
  <c r="B21" i="9" s="1"/>
  <c r="B17" i="9"/>
  <c r="B22" i="9"/>
  <c r="B24" i="9" s="1"/>
  <c r="G162" i="33"/>
  <c r="H162" i="33" s="1"/>
  <c r="I162" i="33" s="1"/>
  <c r="J162" i="33" s="1"/>
  <c r="L162" i="33"/>
  <c r="O159" i="34" s="1"/>
  <c r="B262" i="29"/>
  <c r="B315" i="29" s="1"/>
  <c r="C232" i="29"/>
  <c r="C262" i="29" s="1"/>
  <c r="J262" i="29"/>
  <c r="K232" i="29"/>
  <c r="K262" i="29" s="1"/>
  <c r="B261" i="21"/>
  <c r="B314" i="21" s="1"/>
  <c r="C231" i="21"/>
  <c r="C261" i="21" s="1"/>
  <c r="F322" i="29"/>
  <c r="H261" i="25"/>
  <c r="H314" i="25" s="1"/>
  <c r="I231" i="25"/>
  <c r="I261" i="25" s="1"/>
  <c r="B267" i="5"/>
  <c r="B320" i="5" s="1"/>
  <c r="C237" i="5"/>
  <c r="C267" i="5" s="1"/>
  <c r="J271" i="5"/>
  <c r="K241" i="5"/>
  <c r="K271" i="5" s="1"/>
  <c r="B328" i="33"/>
  <c r="N167" i="34"/>
  <c r="B334" i="33"/>
  <c r="B343" i="33"/>
  <c r="N159" i="34"/>
  <c r="E4" i="37"/>
  <c r="N205" i="38"/>
  <c r="N158" i="38"/>
  <c r="N16" i="34"/>
  <c r="N28" i="34"/>
  <c r="N27" i="34"/>
  <c r="O163" i="34"/>
  <c r="I219" i="25"/>
  <c r="I249" i="25" s="1"/>
  <c r="C230" i="13"/>
  <c r="C260" i="13" s="1"/>
  <c r="B313" i="13" s="1"/>
  <c r="E237" i="5"/>
  <c r="E267" i="5" s="1"/>
  <c r="I238" i="29"/>
  <c r="I268" i="29" s="1"/>
  <c r="E211" i="33"/>
  <c r="E213" i="33"/>
  <c r="C14" i="33"/>
  <c r="E205" i="33" s="1"/>
  <c r="E210" i="9"/>
  <c r="C13" i="9"/>
  <c r="E212" i="9"/>
  <c r="F268" i="29"/>
  <c r="G238" i="29"/>
  <c r="G268" i="29" s="1"/>
  <c r="H141" i="37"/>
  <c r="D154" i="37"/>
  <c r="H154" i="37" s="1"/>
  <c r="J263" i="5"/>
  <c r="K233" i="5"/>
  <c r="K263" i="5" s="1"/>
  <c r="H324" i="13"/>
  <c r="H177" i="33"/>
  <c r="C218" i="33" s="1"/>
  <c r="C248" i="33" s="1"/>
  <c r="B178" i="33"/>
  <c r="B339" i="33"/>
  <c r="N170" i="34"/>
  <c r="B340" i="33"/>
  <c r="F4" i="37"/>
  <c r="N17" i="34"/>
  <c r="N24" i="34"/>
  <c r="C88" i="37"/>
  <c r="C47" i="37"/>
  <c r="B59" i="37" s="1"/>
  <c r="C89" i="37"/>
  <c r="C54" i="37"/>
  <c r="B66" i="37" s="1"/>
  <c r="C86" i="37"/>
  <c r="C97" i="37" s="1"/>
  <c r="C49" i="37"/>
  <c r="B61" i="37" s="1"/>
  <c r="C52" i="37"/>
  <c r="C55" i="37"/>
  <c r="B67" i="37" s="1"/>
  <c r="C50" i="37"/>
  <c r="B62" i="37" s="1"/>
  <c r="C48" i="37"/>
  <c r="B60" i="37" s="1"/>
  <c r="C53" i="37"/>
  <c r="B65" i="37" s="1"/>
  <c r="C51" i="37"/>
  <c r="B63" i="37" s="1"/>
  <c r="E221" i="25"/>
  <c r="E251" i="25" s="1"/>
  <c r="D304" i="25" s="1"/>
  <c r="I237" i="25"/>
  <c r="I267" i="25" s="1"/>
  <c r="E241" i="5"/>
  <c r="E271" i="5" s="1"/>
  <c r="H311" i="17"/>
  <c r="F2" i="9"/>
  <c r="F4" i="9"/>
  <c r="E2" i="9"/>
  <c r="E4" i="9"/>
  <c r="G2" i="9"/>
  <c r="G4" i="9"/>
  <c r="D19" i="9"/>
  <c r="J266" i="21"/>
  <c r="K236" i="21"/>
  <c r="K266" i="21" s="1"/>
  <c r="H321" i="29"/>
  <c r="D261" i="29"/>
  <c r="E231" i="29"/>
  <c r="E261" i="29" s="1"/>
  <c r="H251" i="25"/>
  <c r="I221" i="25"/>
  <c r="I251" i="25" s="1"/>
  <c r="H318" i="13"/>
  <c r="J267" i="5"/>
  <c r="K237" i="5"/>
  <c r="K267" i="5" s="1"/>
  <c r="B331" i="33"/>
  <c r="B351" i="33"/>
  <c r="C13" i="33"/>
  <c r="E212" i="33"/>
  <c r="E210" i="33"/>
  <c r="E34" i="34"/>
  <c r="F2" i="37"/>
  <c r="F3" i="37" s="1"/>
  <c r="N22" i="34"/>
  <c r="N20" i="34"/>
  <c r="N29" i="34"/>
  <c r="O165" i="34"/>
  <c r="O160" i="34"/>
  <c r="O164" i="34"/>
  <c r="O169" i="34"/>
  <c r="O162" i="34"/>
  <c r="O167" i="34"/>
  <c r="H312" i="29"/>
  <c r="H266" i="29"/>
  <c r="I236" i="29"/>
  <c r="I266" i="29" s="1"/>
  <c r="H302" i="25"/>
  <c r="C17" i="9"/>
  <c r="C18" i="9"/>
  <c r="C7" i="9"/>
  <c r="D8" i="9"/>
  <c r="D28" i="9"/>
  <c r="D6" i="9"/>
  <c r="D10" i="9"/>
  <c r="D14" i="9" s="1"/>
  <c r="F205" i="9" s="1"/>
  <c r="D26" i="9"/>
  <c r="D5" i="9"/>
  <c r="D89" i="9"/>
  <c r="F207" i="9"/>
  <c r="F211" i="9" s="1"/>
  <c r="D49" i="9"/>
  <c r="D11" i="9"/>
  <c r="D50" i="9"/>
  <c r="D47" i="9"/>
  <c r="D12" i="9"/>
  <c r="D48" i="9"/>
  <c r="D55" i="9"/>
  <c r="D53" i="9"/>
  <c r="D88" i="9"/>
  <c r="D86" i="9"/>
  <c r="D54" i="9"/>
  <c r="D52" i="9"/>
  <c r="D56" i="9" s="1"/>
  <c r="D247" i="9" s="1"/>
  <c r="D318" i="9" s="1"/>
  <c r="D51" i="9"/>
  <c r="E53" i="9"/>
  <c r="E52" i="9"/>
  <c r="E56" i="9" s="1"/>
  <c r="E247" i="9" s="1"/>
  <c r="C65" i="9"/>
  <c r="E49" i="9"/>
  <c r="E50" i="9"/>
  <c r="E47" i="9"/>
  <c r="C61" i="9"/>
  <c r="C62" i="9"/>
  <c r="C59" i="9"/>
  <c r="E55" i="9"/>
  <c r="E54" i="9"/>
  <c r="C67" i="9"/>
  <c r="C66" i="9"/>
  <c r="F209" i="9"/>
  <c r="E48" i="9"/>
  <c r="E51" i="9"/>
  <c r="D13" i="9"/>
  <c r="C64" i="9"/>
  <c r="C60" i="9"/>
  <c r="C63" i="9"/>
  <c r="C68" i="9"/>
  <c r="D158" i="9"/>
  <c r="D157" i="9"/>
  <c r="D159" i="9"/>
  <c r="C136" i="33"/>
  <c r="H136" i="33" s="1"/>
  <c r="H123" i="33"/>
  <c r="B264" i="29"/>
  <c r="B317" i="29" s="1"/>
  <c r="C234" i="29"/>
  <c r="C264" i="29" s="1"/>
  <c r="F310" i="29"/>
  <c r="H153" i="33"/>
  <c r="H261" i="29"/>
  <c r="I231" i="29"/>
  <c r="I261" i="29" s="1"/>
  <c r="G154" i="33"/>
  <c r="H146" i="33"/>
  <c r="D252" i="9"/>
  <c r="E222" i="9"/>
  <c r="E252" i="9" s="1"/>
  <c r="H263" i="5"/>
  <c r="I233" i="5"/>
  <c r="I263" i="5" s="1"/>
  <c r="B341" i="33"/>
  <c r="B338" i="33"/>
  <c r="N166" i="34"/>
  <c r="B348" i="33"/>
  <c r="N168" i="34"/>
  <c r="N30" i="34"/>
  <c r="N13" i="34"/>
  <c r="N31" i="34"/>
  <c r="E50" i="33"/>
  <c r="C62" i="33" s="1"/>
  <c r="E51" i="33"/>
  <c r="C63" i="33" s="1"/>
  <c r="E88" i="33"/>
  <c r="E55" i="33"/>
  <c r="C67" i="33" s="1"/>
  <c r="E86" i="33"/>
  <c r="E97" i="33" s="1"/>
  <c r="E53" i="33"/>
  <c r="C65" i="33" s="1"/>
  <c r="E49" i="33"/>
  <c r="C61" i="33" s="1"/>
  <c r="E89" i="33"/>
  <c r="E48" i="33"/>
  <c r="C60" i="33" s="1"/>
  <c r="E47" i="33"/>
  <c r="C59" i="33" s="1"/>
  <c r="E52" i="33"/>
  <c r="E54" i="33"/>
  <c r="C66" i="33" s="1"/>
  <c r="G227" i="29"/>
  <c r="G257" i="29" s="1"/>
  <c r="C231" i="29"/>
  <c r="C261" i="29" s="1"/>
  <c r="B314" i="29" s="1"/>
  <c r="G231" i="21"/>
  <c r="G261" i="21" s="1"/>
  <c r="F314" i="21" s="1"/>
  <c r="G234" i="21"/>
  <c r="G264" i="21" s="1"/>
  <c r="F317" i="21" s="1"/>
  <c r="G234" i="29"/>
  <c r="G264" i="29" s="1"/>
  <c r="F317" i="29" s="1"/>
  <c r="F312" i="13"/>
  <c r="G241" i="5"/>
  <c r="G271" i="5" s="1"/>
  <c r="H316" i="25"/>
  <c r="D2" i="5"/>
  <c r="N6" i="6"/>
  <c r="C19" i="5"/>
  <c r="F266" i="29"/>
  <c r="F319" i="29" s="1"/>
  <c r="G236" i="29"/>
  <c r="G266" i="29" s="1"/>
  <c r="D262" i="29"/>
  <c r="E232" i="29"/>
  <c r="E262" i="29" s="1"/>
  <c r="B265" i="29"/>
  <c r="B318" i="29" s="1"/>
  <c r="C235" i="29"/>
  <c r="C265" i="29" s="1"/>
  <c r="H262" i="21"/>
  <c r="H315" i="21" s="1"/>
  <c r="I232" i="21"/>
  <c r="I262" i="21" s="1"/>
  <c r="H320" i="25"/>
  <c r="D263" i="25"/>
  <c r="E233" i="25"/>
  <c r="E263" i="25" s="1"/>
  <c r="J261" i="29"/>
  <c r="K231" i="29"/>
  <c r="K261" i="29" s="1"/>
  <c r="D261" i="9"/>
  <c r="E231" i="9"/>
  <c r="E261" i="9" s="1"/>
  <c r="D154" i="33"/>
  <c r="H140" i="33"/>
  <c r="B342" i="33"/>
  <c r="N164" i="34"/>
  <c r="B333" i="33"/>
  <c r="B329" i="33"/>
  <c r="B347" i="33"/>
  <c r="G206" i="33"/>
  <c r="G208" i="33"/>
  <c r="G209" i="33" s="1"/>
  <c r="E3" i="33"/>
  <c r="E5" i="33" s="1"/>
  <c r="E25" i="33"/>
  <c r="E26" i="33" s="1"/>
  <c r="P6" i="34"/>
  <c r="D28" i="37"/>
  <c r="L162" i="37"/>
  <c r="D27" i="37"/>
  <c r="D29" i="37" s="1"/>
  <c r="D30" i="37" s="1"/>
  <c r="O2" i="38"/>
  <c r="C177" i="37"/>
  <c r="L172" i="37"/>
  <c r="D7" i="37"/>
  <c r="L171" i="37"/>
  <c r="L168" i="37"/>
  <c r="D9" i="37"/>
  <c r="L164" i="37"/>
  <c r="L173" i="37"/>
  <c r="L167" i="37"/>
  <c r="L166" i="37"/>
  <c r="L165" i="37"/>
  <c r="L163" i="37"/>
  <c r="L170" i="37"/>
  <c r="O167" i="38" s="1"/>
  <c r="L169" i="37"/>
  <c r="N25" i="34"/>
  <c r="N15" i="34"/>
  <c r="N14" i="34"/>
  <c r="O168" i="34"/>
  <c r="C230" i="29"/>
  <c r="C260" i="29" s="1"/>
  <c r="B313" i="29" s="1"/>
  <c r="G231" i="29"/>
  <c r="G261" i="29" s="1"/>
  <c r="F314" i="29" s="1"/>
  <c r="I233" i="17"/>
  <c r="I263" i="17" s="1"/>
  <c r="H316" i="17" s="1"/>
  <c r="I231" i="21"/>
  <c r="I261" i="21" s="1"/>
  <c r="H314" i="21" s="1"/>
  <c r="E235" i="17"/>
  <c r="E265" i="17" s="1"/>
  <c r="D318" i="17" s="1"/>
  <c r="K241" i="17"/>
  <c r="K271" i="17" s="1"/>
  <c r="D369" i="33" l="1"/>
  <c r="D401" i="33"/>
  <c r="H22" i="36"/>
  <c r="D385" i="33"/>
  <c r="H8" i="36"/>
  <c r="D359" i="33"/>
  <c r="H21" i="36"/>
  <c r="D372" i="33"/>
  <c r="D339" i="33"/>
  <c r="O13" i="34"/>
  <c r="O41" i="34" s="1"/>
  <c r="O19" i="34"/>
  <c r="O47" i="34" s="1"/>
  <c r="O23" i="34"/>
  <c r="O51" i="34" s="1"/>
  <c r="B336" i="33"/>
  <c r="D345" i="33"/>
  <c r="O22" i="34"/>
  <c r="O50" i="34" s="1"/>
  <c r="D332" i="33"/>
  <c r="D335" i="33"/>
  <c r="D329" i="33"/>
  <c r="D399" i="33"/>
  <c r="O29" i="34"/>
  <c r="O57" i="34" s="1"/>
  <c r="D351" i="33"/>
  <c r="O18" i="34"/>
  <c r="O46" i="34" s="1"/>
  <c r="H18" i="36"/>
  <c r="O18" i="36" s="1"/>
  <c r="D393" i="33"/>
  <c r="D382" i="33"/>
  <c r="D367" i="33"/>
  <c r="H5" i="36"/>
  <c r="O5" i="36" s="1"/>
  <c r="D370" i="33"/>
  <c r="D396" i="33"/>
  <c r="D400" i="33"/>
  <c r="D374" i="33"/>
  <c r="H6" i="36"/>
  <c r="V6" i="36" s="1"/>
  <c r="F171" i="1"/>
  <c r="H15" i="36"/>
  <c r="V15" i="36" s="1"/>
  <c r="E167" i="1"/>
  <c r="E172" i="1"/>
  <c r="D366" i="33"/>
  <c r="H166" i="1"/>
  <c r="J169" i="1"/>
  <c r="I164" i="1"/>
  <c r="F168" i="1"/>
  <c r="E162" i="1"/>
  <c r="E169" i="1"/>
  <c r="H165" i="1"/>
  <c r="C19" i="1"/>
  <c r="C5" i="1"/>
  <c r="D2" i="1"/>
  <c r="D3" i="1" s="1"/>
  <c r="F3" i="1" s="1"/>
  <c r="F19" i="1" s="1"/>
  <c r="N6" i="2"/>
  <c r="H167" i="1"/>
  <c r="J170" i="1"/>
  <c r="G164" i="1"/>
  <c r="H25" i="36"/>
  <c r="V25" i="36" s="1"/>
  <c r="B363" i="33"/>
  <c r="H172" i="1"/>
  <c r="B389" i="33"/>
  <c r="D402" i="33"/>
  <c r="H164" i="1"/>
  <c r="G172" i="1"/>
  <c r="B331" i="37"/>
  <c r="G6" i="40" s="1"/>
  <c r="E173" i="1"/>
  <c r="G166" i="1"/>
  <c r="D357" i="33"/>
  <c r="G165" i="1"/>
  <c r="G163" i="1"/>
  <c r="D380" i="33"/>
  <c r="D390" i="33"/>
  <c r="F163" i="1"/>
  <c r="J162" i="1"/>
  <c r="I162" i="1"/>
  <c r="I167" i="1"/>
  <c r="I172" i="1"/>
  <c r="E171" i="1"/>
  <c r="D388" i="33"/>
  <c r="D360" i="33"/>
  <c r="J172" i="1"/>
  <c r="I171" i="1"/>
  <c r="J173" i="1"/>
  <c r="H168" i="1"/>
  <c r="F165" i="1"/>
  <c r="H162" i="1"/>
  <c r="I169" i="1"/>
  <c r="H173" i="1"/>
  <c r="I173" i="1"/>
  <c r="H170" i="1"/>
  <c r="G170" i="1"/>
  <c r="F172" i="1"/>
  <c r="F166" i="1"/>
  <c r="H11" i="36"/>
  <c r="O11" i="36" s="1"/>
  <c r="D386" i="33"/>
  <c r="J167" i="1"/>
  <c r="J165" i="1"/>
  <c r="E163" i="1"/>
  <c r="J171" i="1"/>
  <c r="I163" i="1"/>
  <c r="G169" i="1"/>
  <c r="H171" i="1"/>
  <c r="G168" i="1"/>
  <c r="F167" i="1"/>
  <c r="E166" i="1"/>
  <c r="D394" i="33"/>
  <c r="J163" i="1"/>
  <c r="G162" i="1"/>
  <c r="E168" i="1"/>
  <c r="H169" i="1"/>
  <c r="J168" i="1"/>
  <c r="J166" i="1"/>
  <c r="H163" i="1"/>
  <c r="F162" i="1"/>
  <c r="F169" i="1"/>
  <c r="I165" i="1"/>
  <c r="E164" i="1"/>
  <c r="D368" i="33"/>
  <c r="D354" i="33"/>
  <c r="I170" i="1"/>
  <c r="J164" i="1"/>
  <c r="G167" i="1"/>
  <c r="I168" i="1"/>
  <c r="I166" i="1"/>
  <c r="G171" i="1"/>
  <c r="G173" i="1"/>
  <c r="F170" i="1"/>
  <c r="B347" i="37"/>
  <c r="G22" i="40" s="1"/>
  <c r="B335" i="37"/>
  <c r="G10" i="40" s="1"/>
  <c r="B348" i="37"/>
  <c r="B374" i="37" s="1"/>
  <c r="B343" i="37"/>
  <c r="B369" i="37" s="1"/>
  <c r="N31" i="38"/>
  <c r="N59" i="38" s="1"/>
  <c r="B339" i="37"/>
  <c r="B365" i="37" s="1"/>
  <c r="N15" i="38"/>
  <c r="N43" i="38" s="1"/>
  <c r="N18" i="38"/>
  <c r="N46" i="38" s="1"/>
  <c r="E165" i="1"/>
  <c r="B341" i="37"/>
  <c r="G16" i="40" s="1"/>
  <c r="B329" i="37"/>
  <c r="B355" i="37" s="1"/>
  <c r="B328" i="37"/>
  <c r="B380" i="37" s="1"/>
  <c r="N11" i="38"/>
  <c r="N39" i="38" s="1"/>
  <c r="N26" i="38"/>
  <c r="B344" i="37"/>
  <c r="B396" i="37" s="1"/>
  <c r="F164" i="1"/>
  <c r="N14" i="38"/>
  <c r="N42" i="38" s="1"/>
  <c r="B332" i="37"/>
  <c r="B358" i="37" s="1"/>
  <c r="N12" i="38"/>
  <c r="N40" i="38" s="1"/>
  <c r="N24" i="38"/>
  <c r="N52" i="38" s="1"/>
  <c r="B342" i="37"/>
  <c r="B368" i="37" s="1"/>
  <c r="B338" i="37"/>
  <c r="B364" i="37" s="1"/>
  <c r="N22" i="38"/>
  <c r="N50" i="38" s="1"/>
  <c r="B345" i="37"/>
  <c r="G20" i="40" s="1"/>
  <c r="N10" i="38"/>
  <c r="N38" i="38" s="1"/>
  <c r="N21" i="38"/>
  <c r="N49" i="38" s="1"/>
  <c r="N25" i="38"/>
  <c r="N53" i="38" s="1"/>
  <c r="E170" i="1"/>
  <c r="V17" i="36"/>
  <c r="O17" i="36"/>
  <c r="O16" i="36"/>
  <c r="V16" i="36"/>
  <c r="V21" i="36"/>
  <c r="O21" i="36"/>
  <c r="O3" i="36"/>
  <c r="V3" i="36"/>
  <c r="O22" i="36"/>
  <c r="V22" i="36"/>
  <c r="V19" i="36"/>
  <c r="O19" i="36"/>
  <c r="O8" i="36"/>
  <c r="V8" i="36"/>
  <c r="V23" i="36"/>
  <c r="O23" i="36"/>
  <c r="V11" i="36"/>
  <c r="O24" i="36"/>
  <c r="V24" i="36"/>
  <c r="V9" i="36"/>
  <c r="O9" i="36"/>
  <c r="V18" i="36"/>
  <c r="V12" i="36"/>
  <c r="O12" i="36"/>
  <c r="V13" i="36"/>
  <c r="O13" i="36"/>
  <c r="E17" i="33"/>
  <c r="E18" i="33"/>
  <c r="M168" i="33"/>
  <c r="M165" i="33"/>
  <c r="D177" i="33"/>
  <c r="M166" i="33"/>
  <c r="M171" i="33"/>
  <c r="E9" i="33"/>
  <c r="M170" i="33"/>
  <c r="P2" i="34"/>
  <c r="E7" i="33"/>
  <c r="F343" i="33"/>
  <c r="M167" i="33"/>
  <c r="M162" i="33"/>
  <c r="F336" i="33"/>
  <c r="F330" i="33"/>
  <c r="M163" i="33"/>
  <c r="M169" i="33"/>
  <c r="M172" i="33"/>
  <c r="F328" i="33"/>
  <c r="M164" i="33"/>
  <c r="E27" i="33"/>
  <c r="M173" i="33"/>
  <c r="F334" i="33"/>
  <c r="E10" i="33"/>
  <c r="E14" i="33" s="1"/>
  <c r="G205" i="33" s="1"/>
  <c r="E28" i="33"/>
  <c r="F19" i="37"/>
  <c r="G2" i="37"/>
  <c r="G3" i="37" s="1"/>
  <c r="G19" i="37" s="1"/>
  <c r="C53" i="9"/>
  <c r="B65" i="9" s="1"/>
  <c r="C88" i="9"/>
  <c r="C54" i="9"/>
  <c r="B66" i="9" s="1"/>
  <c r="C51" i="9"/>
  <c r="B63" i="9" s="1"/>
  <c r="C89" i="9"/>
  <c r="C52" i="9"/>
  <c r="C86" i="9"/>
  <c r="C49" i="9"/>
  <c r="B61" i="9" s="1"/>
  <c r="C50" i="9"/>
  <c r="B62" i="9" s="1"/>
  <c r="C48" i="9"/>
  <c r="B60" i="9" s="1"/>
  <c r="C55" i="9"/>
  <c r="B67" i="9" s="1"/>
  <c r="C47" i="9"/>
  <c r="B59" i="9" s="1"/>
  <c r="C6" i="39"/>
  <c r="B99" i="37"/>
  <c r="B8" i="39"/>
  <c r="B5" i="39"/>
  <c r="B6" i="39"/>
  <c r="B7" i="39"/>
  <c r="C5" i="39"/>
  <c r="C6" i="35"/>
  <c r="B6" i="35"/>
  <c r="B99" i="33"/>
  <c r="C5" i="35"/>
  <c r="B5" i="35"/>
  <c r="B8" i="35"/>
  <c r="B7" i="35"/>
  <c r="B402" i="33"/>
  <c r="B376" i="33"/>
  <c r="G25" i="36"/>
  <c r="D348" i="37"/>
  <c r="O165" i="38"/>
  <c r="O159" i="38"/>
  <c r="G210" i="33"/>
  <c r="H154" i="33"/>
  <c r="D7" i="35"/>
  <c r="D6" i="35"/>
  <c r="E5" i="35"/>
  <c r="D8" i="35"/>
  <c r="D99" i="33"/>
  <c r="D5" i="35"/>
  <c r="F25" i="9"/>
  <c r="H206" i="9"/>
  <c r="H208" i="9"/>
  <c r="F17" i="9"/>
  <c r="F18" i="9"/>
  <c r="B366" i="33"/>
  <c r="B392" i="33"/>
  <c r="G15" i="36"/>
  <c r="E204" i="9"/>
  <c r="B69" i="9"/>
  <c r="B70" i="9"/>
  <c r="N56" i="34"/>
  <c r="G18" i="36"/>
  <c r="B395" i="33"/>
  <c r="B369" i="33"/>
  <c r="D314" i="21"/>
  <c r="E213" i="37"/>
  <c r="E211" i="37"/>
  <c r="C14" i="37"/>
  <c r="E205" i="37" s="1"/>
  <c r="N9" i="38"/>
  <c r="N16" i="38"/>
  <c r="B346" i="37"/>
  <c r="N27" i="38"/>
  <c r="B333" i="37"/>
  <c r="B350" i="37"/>
  <c r="N30" i="38"/>
  <c r="N19" i="38"/>
  <c r="B349" i="37"/>
  <c r="B351" i="37"/>
  <c r="N17" i="38"/>
  <c r="N8" i="38"/>
  <c r="B340" i="37"/>
  <c r="N29" i="38"/>
  <c r="B330" i="37"/>
  <c r="N23" i="38"/>
  <c r="B337" i="37"/>
  <c r="N20" i="38"/>
  <c r="N13" i="38"/>
  <c r="B336" i="37"/>
  <c r="B334" i="37"/>
  <c r="D313" i="21"/>
  <c r="G207" i="33"/>
  <c r="G211" i="33" s="1"/>
  <c r="H50" i="37"/>
  <c r="H53" i="37"/>
  <c r="H47" i="37"/>
  <c r="H49" i="37"/>
  <c r="H207" i="37"/>
  <c r="F11" i="37"/>
  <c r="H48" i="37"/>
  <c r="H54" i="37"/>
  <c r="H86" i="37"/>
  <c r="H97" i="37" s="1"/>
  <c r="F12" i="37"/>
  <c r="H88" i="37"/>
  <c r="F8" i="37"/>
  <c r="F6" i="37" s="1"/>
  <c r="H52" i="37"/>
  <c r="H56" i="37" s="1"/>
  <c r="H247" i="37" s="1"/>
  <c r="H55" i="37"/>
  <c r="H89" i="37"/>
  <c r="H51" i="37"/>
  <c r="F5" i="37"/>
  <c r="N55" i="34"/>
  <c r="B356" i="33"/>
  <c r="B382" i="33"/>
  <c r="G5" i="36"/>
  <c r="E204" i="37"/>
  <c r="O160" i="38"/>
  <c r="O168" i="38"/>
  <c r="B399" i="33"/>
  <c r="B373" i="33"/>
  <c r="G22" i="36"/>
  <c r="F204" i="9"/>
  <c r="C69" i="9"/>
  <c r="C70" i="9"/>
  <c r="L165" i="9"/>
  <c r="L169" i="9"/>
  <c r="L173" i="9"/>
  <c r="D9" i="9"/>
  <c r="L162" i="9"/>
  <c r="L166" i="9"/>
  <c r="L170" i="9"/>
  <c r="L163" i="9"/>
  <c r="L167" i="9"/>
  <c r="L171" i="9"/>
  <c r="D27" i="9"/>
  <c r="D29" i="9" s="1"/>
  <c r="D30" i="9" s="1"/>
  <c r="L168" i="9"/>
  <c r="L172" i="9"/>
  <c r="L164" i="9"/>
  <c r="C177" i="9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D7" i="9"/>
  <c r="D343" i="9"/>
  <c r="D335" i="9"/>
  <c r="D350" i="9"/>
  <c r="D346" i="9"/>
  <c r="D333" i="9"/>
  <c r="D332" i="9"/>
  <c r="D351" i="9"/>
  <c r="D338" i="9"/>
  <c r="D328" i="9"/>
  <c r="D348" i="9"/>
  <c r="D336" i="9"/>
  <c r="D334" i="9"/>
  <c r="D329" i="9"/>
  <c r="D337" i="9"/>
  <c r="D345" i="9"/>
  <c r="D341" i="9"/>
  <c r="D344" i="9"/>
  <c r="D347" i="9"/>
  <c r="D349" i="9"/>
  <c r="D339" i="9"/>
  <c r="D330" i="9"/>
  <c r="D342" i="9"/>
  <c r="D331" i="9"/>
  <c r="D340" i="9"/>
  <c r="H319" i="29"/>
  <c r="N57" i="34"/>
  <c r="E204" i="33"/>
  <c r="N44" i="34"/>
  <c r="G9" i="36"/>
  <c r="B360" i="33"/>
  <c r="B386" i="33"/>
  <c r="G7" i="36"/>
  <c r="B384" i="33"/>
  <c r="B358" i="33"/>
  <c r="N56" i="38"/>
  <c r="B371" i="33"/>
  <c r="B397" i="33"/>
  <c r="G20" i="36"/>
  <c r="F5" i="9"/>
  <c r="F26" i="9"/>
  <c r="F6" i="9"/>
  <c r="F8" i="9"/>
  <c r="F28" i="9"/>
  <c r="F10" i="9"/>
  <c r="F14" i="9" s="1"/>
  <c r="H205" i="9" s="1"/>
  <c r="H54" i="9"/>
  <c r="H53" i="9"/>
  <c r="F12" i="9"/>
  <c r="H52" i="9"/>
  <c r="H56" i="9" s="1"/>
  <c r="H247" i="9" s="1"/>
  <c r="H89" i="9"/>
  <c r="H49" i="9"/>
  <c r="H209" i="9"/>
  <c r="H213" i="9" s="1"/>
  <c r="H50" i="9"/>
  <c r="H86" i="9"/>
  <c r="H48" i="9"/>
  <c r="H207" i="9"/>
  <c r="H51" i="9"/>
  <c r="H55" i="9"/>
  <c r="H88" i="9"/>
  <c r="H47" i="9"/>
  <c r="F11" i="9"/>
  <c r="E62" i="9"/>
  <c r="E63" i="9"/>
  <c r="I53" i="9"/>
  <c r="I55" i="9"/>
  <c r="I54" i="9"/>
  <c r="E65" i="9"/>
  <c r="E67" i="9"/>
  <c r="E66" i="9"/>
  <c r="I47" i="9"/>
  <c r="I49" i="9"/>
  <c r="E59" i="9"/>
  <c r="E64" i="9"/>
  <c r="E61" i="9"/>
  <c r="I48" i="9"/>
  <c r="I52" i="9"/>
  <c r="I56" i="9" s="1"/>
  <c r="I247" i="9" s="1"/>
  <c r="E60" i="9"/>
  <c r="I50" i="9"/>
  <c r="I51" i="9"/>
  <c r="E68" i="9"/>
  <c r="F158" i="9"/>
  <c r="F159" i="9"/>
  <c r="F157" i="9"/>
  <c r="N205" i="34"/>
  <c r="N158" i="34"/>
  <c r="N54" i="34"/>
  <c r="O166" i="38"/>
  <c r="O162" i="38"/>
  <c r="E49" i="37"/>
  <c r="C61" i="37" s="1"/>
  <c r="E55" i="37"/>
  <c r="C67" i="37" s="1"/>
  <c r="E88" i="37"/>
  <c r="E50" i="37"/>
  <c r="C62" i="37" s="1"/>
  <c r="E52" i="37"/>
  <c r="E86" i="37"/>
  <c r="E97" i="37" s="1"/>
  <c r="E48" i="37"/>
  <c r="C60" i="37" s="1"/>
  <c r="E47" i="37"/>
  <c r="C59" i="37" s="1"/>
  <c r="E51" i="37"/>
  <c r="C63" i="37" s="1"/>
  <c r="E54" i="37"/>
  <c r="C66" i="37" s="1"/>
  <c r="E53" i="37"/>
  <c r="C65" i="37" s="1"/>
  <c r="E89" i="37"/>
  <c r="G4" i="36"/>
  <c r="B381" i="33"/>
  <c r="B355" i="33"/>
  <c r="D314" i="9"/>
  <c r="E56" i="33"/>
  <c r="C64" i="33"/>
  <c r="G23" i="36"/>
  <c r="B400" i="33"/>
  <c r="B374" i="33"/>
  <c r="H314" i="29"/>
  <c r="N48" i="34"/>
  <c r="G26" i="36"/>
  <c r="B377" i="33"/>
  <c r="B403" i="33"/>
  <c r="H304" i="25"/>
  <c r="G19" i="36"/>
  <c r="B396" i="33"/>
  <c r="B370" i="33"/>
  <c r="F315" i="29"/>
  <c r="N36" i="34"/>
  <c r="N32" i="34"/>
  <c r="B375" i="33"/>
  <c r="G24" i="36"/>
  <c r="B401" i="33"/>
  <c r="D316" i="29"/>
  <c r="C179" i="33"/>
  <c r="I178" i="33"/>
  <c r="E219" i="33" s="1"/>
  <c r="E249" i="33" s="1"/>
  <c r="G21" i="36"/>
  <c r="B398" i="33"/>
  <c r="B372" i="33"/>
  <c r="B361" i="33"/>
  <c r="G10" i="36"/>
  <c r="B387" i="33"/>
  <c r="F212" i="37"/>
  <c r="D13" i="37"/>
  <c r="O25" i="38"/>
  <c r="O23" i="38"/>
  <c r="O11" i="38"/>
  <c r="O29" i="38"/>
  <c r="O8" i="38"/>
  <c r="F210" i="37"/>
  <c r="D25" i="5"/>
  <c r="F206" i="5"/>
  <c r="F208" i="5"/>
  <c r="B383" i="33"/>
  <c r="B357" i="33"/>
  <c r="G6" i="36"/>
  <c r="N43" i="34"/>
  <c r="D338" i="37"/>
  <c r="O164" i="38"/>
  <c r="C178" i="37"/>
  <c r="I177" i="37"/>
  <c r="E218" i="37" s="1"/>
  <c r="E248" i="37" s="1"/>
  <c r="G13" i="36"/>
  <c r="B390" i="33"/>
  <c r="B364" i="33"/>
  <c r="F213" i="9"/>
  <c r="D314" i="29"/>
  <c r="I206" i="9"/>
  <c r="I208" i="9"/>
  <c r="G18" i="9"/>
  <c r="G17" i="9"/>
  <c r="N52" i="34"/>
  <c r="B179" i="33"/>
  <c r="H178" i="33"/>
  <c r="C219" i="33" s="1"/>
  <c r="C249" i="33" s="1"/>
  <c r="O205" i="34"/>
  <c r="O158" i="34"/>
  <c r="D318" i="21"/>
  <c r="N46" i="34"/>
  <c r="N37" i="34"/>
  <c r="H136" i="37"/>
  <c r="N42" i="34"/>
  <c r="O169" i="38"/>
  <c r="N50" i="34"/>
  <c r="G5" i="9"/>
  <c r="G26" i="9"/>
  <c r="G8" i="9"/>
  <c r="G28" i="9"/>
  <c r="G6" i="9"/>
  <c r="G10" i="9"/>
  <c r="G14" i="9" s="1"/>
  <c r="I205" i="9" s="1"/>
  <c r="G25" i="9"/>
  <c r="J89" i="9"/>
  <c r="J54" i="9"/>
  <c r="J48" i="9"/>
  <c r="J86" i="9"/>
  <c r="J88" i="9"/>
  <c r="J52" i="9"/>
  <c r="J56" i="9" s="1"/>
  <c r="J247" i="9" s="1"/>
  <c r="J55" i="9"/>
  <c r="J53" i="9"/>
  <c r="J51" i="9"/>
  <c r="G11" i="9"/>
  <c r="I209" i="9"/>
  <c r="J49" i="9"/>
  <c r="G12" i="9"/>
  <c r="I207" i="9"/>
  <c r="J47" i="9"/>
  <c r="J50" i="9"/>
  <c r="K47" i="9"/>
  <c r="F61" i="9"/>
  <c r="F59" i="9"/>
  <c r="K48" i="9"/>
  <c r="G158" i="9"/>
  <c r="K54" i="9"/>
  <c r="F60" i="9"/>
  <c r="F66" i="9"/>
  <c r="K51" i="9"/>
  <c r="F64" i="9"/>
  <c r="G159" i="9"/>
  <c r="K53" i="9"/>
  <c r="F63" i="9"/>
  <c r="F65" i="9"/>
  <c r="K50" i="9"/>
  <c r="F67" i="9"/>
  <c r="K49" i="9"/>
  <c r="F68" i="9"/>
  <c r="K55" i="9"/>
  <c r="K52" i="9"/>
  <c r="K56" i="9" s="1"/>
  <c r="K247" i="9" s="1"/>
  <c r="F62" i="9"/>
  <c r="G157" i="9"/>
  <c r="G14" i="36"/>
  <c r="B365" i="33"/>
  <c r="B391" i="33"/>
  <c r="G3" i="36"/>
  <c r="B380" i="33"/>
  <c r="B354" i="33"/>
  <c r="D346" i="37"/>
  <c r="O170" i="38"/>
  <c r="E19" i="33"/>
  <c r="F2" i="33"/>
  <c r="F4" i="33"/>
  <c r="F3" i="33"/>
  <c r="G17" i="36"/>
  <c r="B394" i="33"/>
  <c r="B368" i="33"/>
  <c r="D315" i="29"/>
  <c r="D3" i="5"/>
  <c r="O6" i="6" s="1"/>
  <c r="N59" i="34"/>
  <c r="G16" i="36"/>
  <c r="B393" i="33"/>
  <c r="B367" i="33"/>
  <c r="D305" i="9"/>
  <c r="H208" i="37"/>
  <c r="H209" i="37" s="1"/>
  <c r="H206" i="37"/>
  <c r="F25" i="37"/>
  <c r="F26" i="37" s="1"/>
  <c r="F28" i="37" s="1"/>
  <c r="Q6" i="38"/>
  <c r="E10" i="9"/>
  <c r="E5" i="9"/>
  <c r="E26" i="9"/>
  <c r="E8" i="9"/>
  <c r="E28" i="9"/>
  <c r="E6" i="9"/>
  <c r="G207" i="9"/>
  <c r="G211" i="9" s="1"/>
  <c r="F53" i="9"/>
  <c r="E11" i="9"/>
  <c r="F51" i="9"/>
  <c r="F50" i="9"/>
  <c r="E12" i="9"/>
  <c r="F49" i="9"/>
  <c r="F54" i="9"/>
  <c r="G209" i="9"/>
  <c r="G213" i="9" s="1"/>
  <c r="F47" i="9"/>
  <c r="F89" i="9"/>
  <c r="F88" i="9"/>
  <c r="F86" i="9"/>
  <c r="F48" i="9"/>
  <c r="F52" i="9"/>
  <c r="F56" i="9" s="1"/>
  <c r="F247" i="9" s="1"/>
  <c r="F55" i="9"/>
  <c r="G55" i="9"/>
  <c r="D65" i="9"/>
  <c r="D67" i="9"/>
  <c r="G48" i="9"/>
  <c r="D64" i="9"/>
  <c r="G51" i="9"/>
  <c r="G47" i="9"/>
  <c r="D60" i="9"/>
  <c r="D63" i="9"/>
  <c r="D59" i="9"/>
  <c r="G54" i="9"/>
  <c r="G50" i="9"/>
  <c r="D66" i="9"/>
  <c r="D62" i="9"/>
  <c r="G49" i="9"/>
  <c r="G52" i="9"/>
  <c r="G56" i="9" s="1"/>
  <c r="G247" i="9" s="1"/>
  <c r="D61" i="9"/>
  <c r="G53" i="9"/>
  <c r="D68" i="9"/>
  <c r="E157" i="9"/>
  <c r="E159" i="9"/>
  <c r="E158" i="9"/>
  <c r="C56" i="37"/>
  <c r="B64" i="37"/>
  <c r="N45" i="34"/>
  <c r="N51" i="34"/>
  <c r="N49" i="34"/>
  <c r="N58" i="34"/>
  <c r="D343" i="37"/>
  <c r="O163" i="38"/>
  <c r="B359" i="33"/>
  <c r="G8" i="36"/>
  <c r="B385" i="33"/>
  <c r="D277" i="9"/>
  <c r="D276" i="9"/>
  <c r="D275" i="9"/>
  <c r="D302" i="9"/>
  <c r="D301" i="9"/>
  <c r="D278" i="9"/>
  <c r="D279" i="9"/>
  <c r="D306" i="9"/>
  <c r="D282" i="9"/>
  <c r="D284" i="9"/>
  <c r="D280" i="9"/>
  <c r="D307" i="9"/>
  <c r="D285" i="9"/>
  <c r="D281" i="9"/>
  <c r="D310" i="9"/>
  <c r="D289" i="9"/>
  <c r="D308" i="9"/>
  <c r="D287" i="9"/>
  <c r="D286" i="9"/>
  <c r="D283" i="9"/>
  <c r="D312" i="9"/>
  <c r="D292" i="9"/>
  <c r="D294" i="9"/>
  <c r="D288" i="9"/>
  <c r="D295" i="9"/>
  <c r="D290" i="9"/>
  <c r="D293" i="9"/>
  <c r="D291" i="9"/>
  <c r="D298" i="9"/>
  <c r="D317" i="9"/>
  <c r="D321" i="9"/>
  <c r="D324" i="9"/>
  <c r="D297" i="9"/>
  <c r="D296" i="9"/>
  <c r="D319" i="9"/>
  <c r="D309" i="9"/>
  <c r="D303" i="9"/>
  <c r="D323" i="9"/>
  <c r="D315" i="9"/>
  <c r="D311" i="9"/>
  <c r="D313" i="9"/>
  <c r="D304" i="9"/>
  <c r="D320" i="9"/>
  <c r="D322" i="9"/>
  <c r="D316" i="9"/>
  <c r="N53" i="34"/>
  <c r="D330" i="37"/>
  <c r="D333" i="37"/>
  <c r="D334" i="37"/>
  <c r="O161" i="38"/>
  <c r="D10" i="37"/>
  <c r="G212" i="33"/>
  <c r="D316" i="25"/>
  <c r="D4" i="5"/>
  <c r="N41" i="34"/>
  <c r="U12" i="36"/>
  <c r="N12" i="36"/>
  <c r="E25" i="9"/>
  <c r="G208" i="9"/>
  <c r="E18" i="9"/>
  <c r="G206" i="9"/>
  <c r="E17" i="9"/>
  <c r="F321" i="29"/>
  <c r="G209" i="37"/>
  <c r="F89" i="37"/>
  <c r="F53" i="37"/>
  <c r="F50" i="37"/>
  <c r="E26" i="37"/>
  <c r="F48" i="37"/>
  <c r="F49" i="37"/>
  <c r="F86" i="37"/>
  <c r="F97" i="37" s="1"/>
  <c r="E8" i="37"/>
  <c r="E6" i="37" s="1"/>
  <c r="E11" i="37"/>
  <c r="E12" i="37" s="1"/>
  <c r="F55" i="37"/>
  <c r="F88" i="37"/>
  <c r="F54" i="37"/>
  <c r="G207" i="37"/>
  <c r="F51" i="37"/>
  <c r="F52" i="37"/>
  <c r="F56" i="37" s="1"/>
  <c r="F247" i="37" s="1"/>
  <c r="E5" i="37"/>
  <c r="E28" i="37"/>
  <c r="F47" i="37"/>
  <c r="N38" i="34"/>
  <c r="C56" i="33"/>
  <c r="B69" i="33" s="1"/>
  <c r="B70" i="33" s="1"/>
  <c r="B64" i="33"/>
  <c r="H318" i="17"/>
  <c r="H316" i="29"/>
  <c r="N54" i="38"/>
  <c r="N40" i="34"/>
  <c r="N16" i="6"/>
  <c r="N24" i="6"/>
  <c r="N20" i="44"/>
  <c r="N28" i="44"/>
  <c r="N17" i="6"/>
  <c r="N25" i="6"/>
  <c r="N13" i="44"/>
  <c r="N21" i="44"/>
  <c r="N29" i="44"/>
  <c r="N18" i="6"/>
  <c r="N26" i="6"/>
  <c r="N14" i="44"/>
  <c r="N22" i="44"/>
  <c r="N30" i="44"/>
  <c r="N19" i="6"/>
  <c r="N27" i="6"/>
  <c r="N15" i="44"/>
  <c r="N23" i="44"/>
  <c r="N31" i="44"/>
  <c r="N20" i="6"/>
  <c r="N28" i="6"/>
  <c r="N16" i="44"/>
  <c r="N24" i="44"/>
  <c r="N13" i="6"/>
  <c r="N21" i="6"/>
  <c r="N29" i="6"/>
  <c r="N17" i="44"/>
  <c r="N25" i="44"/>
  <c r="N22" i="6"/>
  <c r="N26" i="44"/>
  <c r="N23" i="6"/>
  <c r="N27" i="44"/>
  <c r="N30" i="6"/>
  <c r="C28" i="5"/>
  <c r="N31" i="6"/>
  <c r="K163" i="5"/>
  <c r="K167" i="5"/>
  <c r="K171" i="5"/>
  <c r="K162" i="5"/>
  <c r="K166" i="5"/>
  <c r="K170" i="5"/>
  <c r="N14" i="6"/>
  <c r="N18" i="44"/>
  <c r="N19" i="44"/>
  <c r="C27" i="5"/>
  <c r="C29" i="5" s="1"/>
  <c r="C30" i="5" s="1"/>
  <c r="K169" i="5"/>
  <c r="K172" i="5"/>
  <c r="K165" i="5"/>
  <c r="K168" i="5"/>
  <c r="N15" i="6"/>
  <c r="K164" i="5"/>
  <c r="K173" i="5"/>
  <c r="C9" i="5"/>
  <c r="B345" i="5"/>
  <c r="B346" i="5"/>
  <c r="B328" i="5"/>
  <c r="B331" i="5"/>
  <c r="B339" i="5"/>
  <c r="B334" i="5"/>
  <c r="B347" i="5"/>
  <c r="B344" i="5"/>
  <c r="B342" i="5"/>
  <c r="B340" i="5"/>
  <c r="B350" i="5"/>
  <c r="B332" i="5"/>
  <c r="B333" i="5"/>
  <c r="B337" i="5"/>
  <c r="B335" i="5"/>
  <c r="B177" i="5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348" i="5"/>
  <c r="B336" i="5"/>
  <c r="B330" i="5"/>
  <c r="B343" i="5"/>
  <c r="B341" i="5"/>
  <c r="C7" i="5"/>
  <c r="B349" i="5"/>
  <c r="B329" i="5"/>
  <c r="B338" i="5"/>
  <c r="B351" i="5"/>
  <c r="O6" i="36" l="1"/>
  <c r="O15" i="36"/>
  <c r="O60" i="34"/>
  <c r="D381" i="33"/>
  <c r="D355" i="33"/>
  <c r="H4" i="36"/>
  <c r="H10" i="36"/>
  <c r="D387" i="33"/>
  <c r="D361" i="33"/>
  <c r="D365" i="33"/>
  <c r="D391" i="33"/>
  <c r="H14" i="36"/>
  <c r="D358" i="33"/>
  <c r="H7" i="36"/>
  <c r="D384" i="33"/>
  <c r="V5" i="36"/>
  <c r="H20" i="36"/>
  <c r="D397" i="33"/>
  <c r="D371" i="33"/>
  <c r="D377" i="33"/>
  <c r="H26" i="36"/>
  <c r="D403" i="33"/>
  <c r="B362" i="33"/>
  <c r="B388" i="33"/>
  <c r="G11" i="36"/>
  <c r="O32" i="34"/>
  <c r="O61" i="34" s="1"/>
  <c r="B367" i="37"/>
  <c r="O6" i="44"/>
  <c r="D19" i="1"/>
  <c r="E4" i="1"/>
  <c r="G3" i="1"/>
  <c r="G19" i="1" s="1"/>
  <c r="B395" i="37"/>
  <c r="E2" i="1"/>
  <c r="E17" i="1" s="1"/>
  <c r="G18" i="40"/>
  <c r="U18" i="40" s="1"/>
  <c r="E3" i="1"/>
  <c r="E19" i="1" s="1"/>
  <c r="D4" i="1"/>
  <c r="D25" i="1"/>
  <c r="F208" i="1"/>
  <c r="F206" i="1"/>
  <c r="B393" i="37"/>
  <c r="B344" i="1"/>
  <c r="B339" i="1"/>
  <c r="B336" i="1"/>
  <c r="B347" i="1"/>
  <c r="B338" i="1"/>
  <c r="B350" i="1"/>
  <c r="B346" i="1"/>
  <c r="B335" i="1"/>
  <c r="C28" i="1"/>
  <c r="N15" i="2"/>
  <c r="N43" i="2" s="1"/>
  <c r="N25" i="2"/>
  <c r="N53" i="2" s="1"/>
  <c r="B177" i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N16" i="2"/>
  <c r="N44" i="2" s="1"/>
  <c r="B337" i="1"/>
  <c r="C27" i="1"/>
  <c r="N13" i="2"/>
  <c r="N41" i="2" s="1"/>
  <c r="N23" i="2"/>
  <c r="N51" i="2" s="1"/>
  <c r="N26" i="2"/>
  <c r="N54" i="2" s="1"/>
  <c r="B333" i="1"/>
  <c r="B331" i="1"/>
  <c r="N27" i="2"/>
  <c r="N55" i="2" s="1"/>
  <c r="B341" i="1"/>
  <c r="N11" i="2"/>
  <c r="N39" i="2" s="1"/>
  <c r="N21" i="2"/>
  <c r="N49" i="2" s="1"/>
  <c r="N31" i="2"/>
  <c r="N59" i="2" s="1"/>
  <c r="N9" i="2"/>
  <c r="N37" i="2" s="1"/>
  <c r="N29" i="2"/>
  <c r="N57" i="2" s="1"/>
  <c r="C9" i="1"/>
  <c r="C7" i="1"/>
  <c r="N10" i="2"/>
  <c r="N38" i="2" s="1"/>
  <c r="N18" i="2"/>
  <c r="N46" i="2" s="1"/>
  <c r="B329" i="1"/>
  <c r="N19" i="2"/>
  <c r="N47" i="2" s="1"/>
  <c r="N8" i="2"/>
  <c r="B342" i="1"/>
  <c r="B345" i="1"/>
  <c r="B328" i="1"/>
  <c r="B348" i="1"/>
  <c r="N12" i="2"/>
  <c r="N40" i="2" s="1"/>
  <c r="N14" i="2"/>
  <c r="N42" i="2" s="1"/>
  <c r="N24" i="2"/>
  <c r="N52" i="2" s="1"/>
  <c r="N20" i="2"/>
  <c r="N48" i="2" s="1"/>
  <c r="N17" i="2"/>
  <c r="N45" i="2" s="1"/>
  <c r="B351" i="1"/>
  <c r="N28" i="2"/>
  <c r="N56" i="2" s="1"/>
  <c r="B330" i="1"/>
  <c r="B334" i="1"/>
  <c r="B332" i="1"/>
  <c r="B340" i="1"/>
  <c r="N22" i="2"/>
  <c r="N50" i="2" s="1"/>
  <c r="B343" i="1"/>
  <c r="B349" i="1"/>
  <c r="N30" i="2"/>
  <c r="N58" i="2" s="1"/>
  <c r="B357" i="37"/>
  <c r="F4" i="1"/>
  <c r="F5" i="1" s="1"/>
  <c r="B383" i="37"/>
  <c r="O25" i="36"/>
  <c r="G2" i="1"/>
  <c r="G17" i="1" s="1"/>
  <c r="O6" i="2"/>
  <c r="B399" i="37"/>
  <c r="B400" i="37"/>
  <c r="B384" i="37"/>
  <c r="B381" i="37"/>
  <c r="B387" i="37"/>
  <c r="G23" i="40"/>
  <c r="N23" i="40" s="1"/>
  <c r="G7" i="40"/>
  <c r="U7" i="40" s="1"/>
  <c r="G4" i="40"/>
  <c r="N4" i="40" s="1"/>
  <c r="B361" i="37"/>
  <c r="B373" i="37"/>
  <c r="B391" i="37"/>
  <c r="B390" i="37"/>
  <c r="G14" i="40"/>
  <c r="N14" i="40" s="1"/>
  <c r="G3" i="40"/>
  <c r="G13" i="40"/>
  <c r="U13" i="40" s="1"/>
  <c r="G17" i="40"/>
  <c r="U17" i="40" s="1"/>
  <c r="B354" i="37"/>
  <c r="G19" i="40"/>
  <c r="N19" i="40" s="1"/>
  <c r="B370" i="37"/>
  <c r="B394" i="37"/>
  <c r="B371" i="37"/>
  <c r="B397" i="37"/>
  <c r="F18" i="37"/>
  <c r="F17" i="37"/>
  <c r="E17" i="37"/>
  <c r="E18" i="37"/>
  <c r="B395" i="5"/>
  <c r="B369" i="5"/>
  <c r="N56" i="44"/>
  <c r="O39" i="38"/>
  <c r="B398" i="5"/>
  <c r="B372" i="5"/>
  <c r="C89" i="5"/>
  <c r="C53" i="5"/>
  <c r="B65" i="5" s="1"/>
  <c r="C52" i="5"/>
  <c r="C51" i="5"/>
  <c r="B63" i="5" s="1"/>
  <c r="C50" i="5"/>
  <c r="B62" i="5" s="1"/>
  <c r="C47" i="5"/>
  <c r="B59" i="5" s="1"/>
  <c r="C49" i="5"/>
  <c r="B61" i="5" s="1"/>
  <c r="C48" i="5"/>
  <c r="B60" i="5" s="1"/>
  <c r="C88" i="5"/>
  <c r="C86" i="5"/>
  <c r="C54" i="5"/>
  <c r="B66" i="5" s="1"/>
  <c r="C55" i="5"/>
  <c r="B67" i="5" s="1"/>
  <c r="B386" i="5"/>
  <c r="B360" i="5"/>
  <c r="N45" i="44"/>
  <c r="N44" i="44"/>
  <c r="N53" i="6"/>
  <c r="E9" i="9"/>
  <c r="E13" i="9" s="1"/>
  <c r="M162" i="9"/>
  <c r="M166" i="9"/>
  <c r="M170" i="9"/>
  <c r="M163" i="9"/>
  <c r="M167" i="9"/>
  <c r="M171" i="9"/>
  <c r="M164" i="9"/>
  <c r="M168" i="9"/>
  <c r="M172" i="9"/>
  <c r="M165" i="9"/>
  <c r="M173" i="9"/>
  <c r="E27" i="9"/>
  <c r="E29" i="9" s="1"/>
  <c r="E30" i="9" s="1"/>
  <c r="M169" i="9"/>
  <c r="F330" i="9"/>
  <c r="F342" i="9"/>
  <c r="E7" i="9"/>
  <c r="F333" i="9"/>
  <c r="D177" i="9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F334" i="9"/>
  <c r="F350" i="9"/>
  <c r="F335" i="9"/>
  <c r="F345" i="9"/>
  <c r="F337" i="9"/>
  <c r="F336" i="9"/>
  <c r="F339" i="9"/>
  <c r="F331" i="9"/>
  <c r="F344" i="9"/>
  <c r="F349" i="9"/>
  <c r="F328" i="9"/>
  <c r="F338" i="9"/>
  <c r="F347" i="9"/>
  <c r="F346" i="9"/>
  <c r="F340" i="9"/>
  <c r="F351" i="9"/>
  <c r="F348" i="9"/>
  <c r="F329" i="9"/>
  <c r="F332" i="9"/>
  <c r="F343" i="9"/>
  <c r="F341" i="9"/>
  <c r="B393" i="5"/>
  <c r="B367" i="5"/>
  <c r="B359" i="5"/>
  <c r="B385" i="5"/>
  <c r="B391" i="5"/>
  <c r="B365" i="5"/>
  <c r="N42" i="6"/>
  <c r="N41" i="6"/>
  <c r="N56" i="6"/>
  <c r="N50" i="44"/>
  <c r="N45" i="6"/>
  <c r="N51" i="6"/>
  <c r="M163" i="37"/>
  <c r="E27" i="37"/>
  <c r="E29" i="37" s="1"/>
  <c r="E30" i="37" s="1"/>
  <c r="M172" i="37"/>
  <c r="E7" i="37"/>
  <c r="M173" i="37"/>
  <c r="M168" i="37"/>
  <c r="E9" i="37"/>
  <c r="M169" i="37"/>
  <c r="P166" i="38" s="1"/>
  <c r="M164" i="37"/>
  <c r="M165" i="37"/>
  <c r="P162" i="38" s="1"/>
  <c r="P2" i="38"/>
  <c r="D177" i="37"/>
  <c r="M170" i="37"/>
  <c r="M167" i="37"/>
  <c r="P164" i="38" s="1"/>
  <c r="M162" i="37"/>
  <c r="M171" i="37"/>
  <c r="M166" i="37"/>
  <c r="P163" i="38" s="1"/>
  <c r="D14" i="37"/>
  <c r="F205" i="37" s="1"/>
  <c r="F211" i="37"/>
  <c r="F213" i="37"/>
  <c r="D341" i="37"/>
  <c r="D336" i="37"/>
  <c r="D342" i="37"/>
  <c r="N8" i="36"/>
  <c r="U8" i="36"/>
  <c r="E14" i="9"/>
  <c r="G205" i="9" s="1"/>
  <c r="H208" i="33"/>
  <c r="H206" i="33"/>
  <c r="F25" i="33"/>
  <c r="Q6" i="34"/>
  <c r="U3" i="36"/>
  <c r="N3" i="36"/>
  <c r="G27" i="9"/>
  <c r="G29" i="9" s="1"/>
  <c r="G30" i="9" s="1"/>
  <c r="O164" i="9"/>
  <c r="O168" i="9"/>
  <c r="O172" i="9"/>
  <c r="O165" i="9"/>
  <c r="O169" i="9"/>
  <c r="O173" i="9"/>
  <c r="O166" i="9"/>
  <c r="O170" i="9"/>
  <c r="O167" i="9"/>
  <c r="O162" i="9"/>
  <c r="O163" i="9"/>
  <c r="O171" i="9"/>
  <c r="G9" i="9"/>
  <c r="G13" i="9" s="1"/>
  <c r="F177" i="9"/>
  <c r="F178" i="9" s="1"/>
  <c r="F179" i="9" s="1"/>
  <c r="F180" i="9" s="1"/>
  <c r="F181" i="9" s="1"/>
  <c r="F182" i="9" s="1"/>
  <c r="F183" i="9" s="1"/>
  <c r="F184" i="9" s="1"/>
  <c r="F185" i="9" s="1"/>
  <c r="F186" i="9" s="1"/>
  <c r="F187" i="9" s="1"/>
  <c r="F188" i="9" s="1"/>
  <c r="F189" i="9" s="1"/>
  <c r="F190" i="9" s="1"/>
  <c r="F191" i="9" s="1"/>
  <c r="F192" i="9" s="1"/>
  <c r="F193" i="9" s="1"/>
  <c r="F194" i="9" s="1"/>
  <c r="F195" i="9" s="1"/>
  <c r="F196" i="9" s="1"/>
  <c r="F197" i="9" s="1"/>
  <c r="F198" i="9" s="1"/>
  <c r="F199" i="9" s="1"/>
  <c r="F200" i="9" s="1"/>
  <c r="G7" i="9"/>
  <c r="J337" i="9"/>
  <c r="J335" i="9"/>
  <c r="J347" i="9"/>
  <c r="J330" i="9"/>
  <c r="J344" i="9"/>
  <c r="J345" i="9"/>
  <c r="J351" i="9"/>
  <c r="J332" i="9"/>
  <c r="J336" i="9"/>
  <c r="J334" i="9"/>
  <c r="J333" i="9"/>
  <c r="J276" i="9"/>
  <c r="J302" i="9" s="1"/>
  <c r="J279" i="9"/>
  <c r="J305" i="9" s="1"/>
  <c r="J328" i="9"/>
  <c r="J341" i="9"/>
  <c r="J342" i="9"/>
  <c r="J331" i="9"/>
  <c r="J349" i="9"/>
  <c r="J275" i="9"/>
  <c r="J301" i="9" s="1"/>
  <c r="J278" i="9"/>
  <c r="J304" i="9" s="1"/>
  <c r="J338" i="9"/>
  <c r="J348" i="9"/>
  <c r="J339" i="9"/>
  <c r="J343" i="9"/>
  <c r="J340" i="9"/>
  <c r="J280" i="9"/>
  <c r="J306" i="9" s="1"/>
  <c r="J350" i="9"/>
  <c r="J277" i="9"/>
  <c r="J303" i="9" s="1"/>
  <c r="J283" i="9"/>
  <c r="J309" i="9" s="1"/>
  <c r="J329" i="9"/>
  <c r="J284" i="9"/>
  <c r="J310" i="9" s="1"/>
  <c r="J281" i="9"/>
  <c r="J307" i="9" s="1"/>
  <c r="J289" i="9"/>
  <c r="J315" i="9" s="1"/>
  <c r="J287" i="9"/>
  <c r="J313" i="9" s="1"/>
  <c r="J288" i="9"/>
  <c r="J314" i="9" s="1"/>
  <c r="J292" i="9"/>
  <c r="J318" i="9" s="1"/>
  <c r="J346" i="9"/>
  <c r="J282" i="9"/>
  <c r="J308" i="9" s="1"/>
  <c r="J293" i="9"/>
  <c r="J319" i="9" s="1"/>
  <c r="J286" i="9"/>
  <c r="J312" i="9" s="1"/>
  <c r="J291" i="9"/>
  <c r="J317" i="9" s="1"/>
  <c r="J295" i="9"/>
  <c r="J321" i="9" s="1"/>
  <c r="J297" i="9"/>
  <c r="J323" i="9" s="1"/>
  <c r="J290" i="9"/>
  <c r="J316" i="9" s="1"/>
  <c r="J294" i="9"/>
  <c r="J320" i="9" s="1"/>
  <c r="J296" i="9"/>
  <c r="J322" i="9" s="1"/>
  <c r="J298" i="9"/>
  <c r="J324" i="9" s="1"/>
  <c r="J285" i="9"/>
  <c r="J311" i="9" s="1"/>
  <c r="N7" i="40"/>
  <c r="D328" i="37"/>
  <c r="O20" i="38"/>
  <c r="O30" i="38"/>
  <c r="O24" i="38"/>
  <c r="C180" i="33"/>
  <c r="I179" i="33"/>
  <c r="E220" i="33" s="1"/>
  <c r="E250" i="33" s="1"/>
  <c r="U26" i="36"/>
  <c r="N26" i="36"/>
  <c r="C69" i="33"/>
  <c r="C70" i="33" s="1"/>
  <c r="E247" i="33"/>
  <c r="C68" i="33"/>
  <c r="D370" i="9"/>
  <c r="D396" i="9"/>
  <c r="D380" i="9"/>
  <c r="D354" i="9"/>
  <c r="D369" i="9"/>
  <c r="D395" i="9"/>
  <c r="N51" i="38"/>
  <c r="N47" i="38"/>
  <c r="U18" i="36"/>
  <c r="N18" i="36"/>
  <c r="G213" i="33"/>
  <c r="G4" i="37"/>
  <c r="F335" i="33"/>
  <c r="F333" i="33"/>
  <c r="F337" i="33"/>
  <c r="F351" i="33"/>
  <c r="E13" i="33"/>
  <c r="P18" i="34"/>
  <c r="P13" i="34"/>
  <c r="P25" i="34"/>
  <c r="P8" i="34"/>
  <c r="P9" i="34"/>
  <c r="P19" i="34"/>
  <c r="P24" i="34"/>
  <c r="P15" i="34"/>
  <c r="P28" i="34"/>
  <c r="P17" i="34"/>
  <c r="P22" i="34"/>
  <c r="P27" i="34"/>
  <c r="P10" i="34"/>
  <c r="P12" i="34"/>
  <c r="P11" i="34"/>
  <c r="P23" i="34"/>
  <c r="P21" i="34"/>
  <c r="P20" i="34"/>
  <c r="P31" i="34"/>
  <c r="P16" i="34"/>
  <c r="P14" i="34"/>
  <c r="H34" i="34"/>
  <c r="P30" i="34"/>
  <c r="P26" i="34"/>
  <c r="P29" i="34"/>
  <c r="U16" i="40"/>
  <c r="N16" i="40"/>
  <c r="D393" i="9"/>
  <c r="D367" i="9"/>
  <c r="D400" i="37"/>
  <c r="H23" i="40"/>
  <c r="D374" i="37"/>
  <c r="I3" i="36"/>
  <c r="F354" i="33"/>
  <c r="F380" i="33"/>
  <c r="I18" i="36"/>
  <c r="F395" i="33"/>
  <c r="F369" i="33"/>
  <c r="B403" i="5"/>
  <c r="B377" i="5"/>
  <c r="B382" i="5"/>
  <c r="B356" i="5"/>
  <c r="B402" i="5"/>
  <c r="B376" i="5"/>
  <c r="B354" i="5"/>
  <c r="B380" i="5"/>
  <c r="N54" i="44"/>
  <c r="N40" i="6"/>
  <c r="N32" i="6"/>
  <c r="N54" i="6"/>
  <c r="N48" i="44"/>
  <c r="H9" i="40"/>
  <c r="D386" i="37"/>
  <c r="D360" i="37"/>
  <c r="F10" i="1"/>
  <c r="F26" i="1"/>
  <c r="F157" i="1"/>
  <c r="F8" i="1"/>
  <c r="H88" i="1"/>
  <c r="H49" i="1"/>
  <c r="H54" i="1"/>
  <c r="I52" i="1"/>
  <c r="I56" i="1" s="1"/>
  <c r="I247" i="1" s="1"/>
  <c r="H89" i="1"/>
  <c r="H207" i="1"/>
  <c r="I53" i="1"/>
  <c r="H52" i="1"/>
  <c r="H56" i="1" s="1"/>
  <c r="H247" i="1" s="1"/>
  <c r="E66" i="1"/>
  <c r="I48" i="1"/>
  <c r="E60" i="1"/>
  <c r="J36" i="2" s="1"/>
  <c r="H50" i="1"/>
  <c r="I55" i="1"/>
  <c r="H48" i="1"/>
  <c r="F12" i="1"/>
  <c r="I47" i="1"/>
  <c r="F159" i="1"/>
  <c r="H51" i="1"/>
  <c r="I212" i="9"/>
  <c r="O22" i="38"/>
  <c r="O31" i="38"/>
  <c r="O26" i="38"/>
  <c r="D329" i="37"/>
  <c r="D357" i="9"/>
  <c r="D383" i="9"/>
  <c r="D371" i="9"/>
  <c r="D397" i="9"/>
  <c r="D403" i="9"/>
  <c r="D377" i="9"/>
  <c r="N57" i="38"/>
  <c r="G25" i="40"/>
  <c r="B376" i="37"/>
  <c r="B402" i="37"/>
  <c r="E10" i="35"/>
  <c r="E6" i="35"/>
  <c r="E9" i="35"/>
  <c r="D332" i="37"/>
  <c r="F341" i="33"/>
  <c r="F344" i="33"/>
  <c r="F339" i="33"/>
  <c r="F349" i="33"/>
  <c r="N48" i="6"/>
  <c r="O53" i="38"/>
  <c r="I5" i="36"/>
  <c r="F356" i="33"/>
  <c r="F382" i="33"/>
  <c r="N40" i="44"/>
  <c r="N32" i="44"/>
  <c r="O57" i="38"/>
  <c r="O51" i="38"/>
  <c r="C69" i="37"/>
  <c r="C70" i="37" s="1"/>
  <c r="F204" i="37"/>
  <c r="N6" i="40"/>
  <c r="U6" i="40"/>
  <c r="D6" i="39"/>
  <c r="D99" i="37"/>
  <c r="D7" i="39"/>
  <c r="E5" i="39"/>
  <c r="D8" i="39"/>
  <c r="D5" i="39"/>
  <c r="U20" i="36"/>
  <c r="N20" i="36"/>
  <c r="D368" i="9"/>
  <c r="D394" i="9"/>
  <c r="D389" i="9"/>
  <c r="D363" i="9"/>
  <c r="D358" i="9"/>
  <c r="D384" i="9"/>
  <c r="U3" i="40"/>
  <c r="N3" i="40"/>
  <c r="G9" i="40"/>
  <c r="B386" i="37"/>
  <c r="B360" i="37"/>
  <c r="B392" i="37"/>
  <c r="B366" i="37"/>
  <c r="G15" i="40"/>
  <c r="G8" i="40"/>
  <c r="B359" i="37"/>
  <c r="B385" i="37"/>
  <c r="D347" i="37"/>
  <c r="U22" i="40"/>
  <c r="N22" i="40"/>
  <c r="I11" i="36"/>
  <c r="F362" i="33"/>
  <c r="F388" i="33"/>
  <c r="G89" i="33"/>
  <c r="G88" i="33"/>
  <c r="G86" i="33"/>
  <c r="G97" i="33" s="1"/>
  <c r="G47" i="33"/>
  <c r="D59" i="33" s="1"/>
  <c r="G55" i="33"/>
  <c r="D67" i="33" s="1"/>
  <c r="G53" i="33"/>
  <c r="D65" i="33" s="1"/>
  <c r="G49" i="33"/>
  <c r="D61" i="33" s="1"/>
  <c r="G52" i="33"/>
  <c r="G48" i="33"/>
  <c r="D60" i="33" s="1"/>
  <c r="G51" i="33"/>
  <c r="D63" i="33" s="1"/>
  <c r="G50" i="33"/>
  <c r="D62" i="33" s="1"/>
  <c r="G54" i="33"/>
  <c r="D66" i="33" s="1"/>
  <c r="D178" i="33"/>
  <c r="J177" i="33"/>
  <c r="G218" i="33" s="1"/>
  <c r="G248" i="33" s="1"/>
  <c r="B383" i="5"/>
  <c r="B357" i="5"/>
  <c r="N43" i="6"/>
  <c r="U13" i="36"/>
  <c r="N13" i="36"/>
  <c r="U10" i="36"/>
  <c r="N10" i="36"/>
  <c r="B390" i="5"/>
  <c r="B364" i="5"/>
  <c r="D395" i="37"/>
  <c r="H18" i="40"/>
  <c r="D369" i="37"/>
  <c r="U16" i="36"/>
  <c r="N16" i="36"/>
  <c r="N14" i="36"/>
  <c r="U14" i="36"/>
  <c r="G206" i="1"/>
  <c r="E18" i="1"/>
  <c r="B400" i="5"/>
  <c r="B374" i="5"/>
  <c r="B394" i="5"/>
  <c r="B368" i="5"/>
  <c r="B371" i="5"/>
  <c r="B397" i="5"/>
  <c r="N53" i="44"/>
  <c r="N43" i="44"/>
  <c r="N57" i="44"/>
  <c r="N52" i="6"/>
  <c r="D382" i="37"/>
  <c r="H5" i="40"/>
  <c r="D356" i="37"/>
  <c r="F278" i="9"/>
  <c r="F277" i="9"/>
  <c r="F276" i="9"/>
  <c r="F275" i="9"/>
  <c r="F302" i="9"/>
  <c r="F301" i="9"/>
  <c r="F306" i="9"/>
  <c r="F279" i="9"/>
  <c r="F280" i="9"/>
  <c r="F307" i="9"/>
  <c r="F281" i="9"/>
  <c r="F283" i="9"/>
  <c r="F284" i="9"/>
  <c r="F286" i="9"/>
  <c r="F309" i="9"/>
  <c r="F285" i="9"/>
  <c r="F293" i="9"/>
  <c r="F282" i="9"/>
  <c r="F287" i="9"/>
  <c r="F311" i="9"/>
  <c r="F290" i="9"/>
  <c r="F288" i="9"/>
  <c r="F289" i="9"/>
  <c r="F291" i="9"/>
  <c r="F294" i="9"/>
  <c r="F292" i="9"/>
  <c r="F322" i="9"/>
  <c r="F298" i="9"/>
  <c r="F295" i="9"/>
  <c r="F296" i="9"/>
  <c r="F317" i="9"/>
  <c r="F320" i="9"/>
  <c r="F297" i="9"/>
  <c r="F314" i="9"/>
  <c r="F316" i="9"/>
  <c r="F303" i="9"/>
  <c r="F321" i="9"/>
  <c r="F324" i="9"/>
  <c r="F310" i="9"/>
  <c r="F308" i="9"/>
  <c r="F305" i="9"/>
  <c r="F315" i="9"/>
  <c r="F323" i="9"/>
  <c r="F319" i="9"/>
  <c r="F313" i="9"/>
  <c r="F312" i="9"/>
  <c r="F318" i="9"/>
  <c r="F304" i="9"/>
  <c r="F19" i="33"/>
  <c r="G4" i="33"/>
  <c r="D335" i="37"/>
  <c r="I211" i="9"/>
  <c r="O17" i="38"/>
  <c r="F34" i="38"/>
  <c r="O18" i="38"/>
  <c r="O16" i="38"/>
  <c r="N4" i="36"/>
  <c r="U4" i="36"/>
  <c r="E56" i="37"/>
  <c r="C64" i="37"/>
  <c r="N9" i="36"/>
  <c r="U9" i="36"/>
  <c r="D382" i="9"/>
  <c r="D356" i="9"/>
  <c r="D355" i="9"/>
  <c r="D381" i="9"/>
  <c r="D359" i="9"/>
  <c r="D385" i="9"/>
  <c r="D351" i="37"/>
  <c r="B388" i="37"/>
  <c r="G11" i="40"/>
  <c r="B362" i="37"/>
  <c r="N36" i="38"/>
  <c r="N32" i="38"/>
  <c r="N55" i="38"/>
  <c r="D349" i="37"/>
  <c r="F348" i="33"/>
  <c r="F329" i="33"/>
  <c r="F332" i="33"/>
  <c r="O36" i="38"/>
  <c r="D392" i="9"/>
  <c r="D366" i="9"/>
  <c r="N58" i="38"/>
  <c r="F386" i="33"/>
  <c r="F360" i="33"/>
  <c r="I9" i="36"/>
  <c r="N50" i="6"/>
  <c r="C247" i="37"/>
  <c r="B68" i="37"/>
  <c r="H21" i="40"/>
  <c r="D398" i="37"/>
  <c r="D372" i="37"/>
  <c r="I210" i="9"/>
  <c r="E212" i="5"/>
  <c r="E210" i="5"/>
  <c r="C13" i="5"/>
  <c r="N49" i="6"/>
  <c r="N49" i="44"/>
  <c r="G210" i="9"/>
  <c r="D5" i="5"/>
  <c r="O31" i="6" s="1"/>
  <c r="D26" i="5"/>
  <c r="D28" i="5" s="1"/>
  <c r="F207" i="5"/>
  <c r="D12" i="5"/>
  <c r="D53" i="5"/>
  <c r="D54" i="5"/>
  <c r="D86" i="5"/>
  <c r="D51" i="5"/>
  <c r="D52" i="5"/>
  <c r="D56" i="5" s="1"/>
  <c r="D247" i="5" s="1"/>
  <c r="D49" i="5"/>
  <c r="D8" i="5"/>
  <c r="D6" i="5" s="1"/>
  <c r="D47" i="5"/>
  <c r="D50" i="5"/>
  <c r="D89" i="5"/>
  <c r="D48" i="5"/>
  <c r="D88" i="5"/>
  <c r="F209" i="5"/>
  <c r="D11" i="5"/>
  <c r="D55" i="5"/>
  <c r="O17" i="44"/>
  <c r="O44" i="44" s="1"/>
  <c r="O13" i="6"/>
  <c r="O16" i="44"/>
  <c r="O43" i="44" s="1"/>
  <c r="O22" i="6"/>
  <c r="O28" i="6"/>
  <c r="O30" i="6"/>
  <c r="U20" i="40"/>
  <c r="N20" i="40"/>
  <c r="D331" i="37"/>
  <c r="D344" i="37"/>
  <c r="G4" i="1"/>
  <c r="C179" i="37"/>
  <c r="I178" i="37"/>
  <c r="E219" i="37" s="1"/>
  <c r="E249" i="37" s="1"/>
  <c r="N6" i="36"/>
  <c r="U6" i="36"/>
  <c r="O15" i="38"/>
  <c r="O28" i="38"/>
  <c r="O27" i="38"/>
  <c r="N21" i="36"/>
  <c r="U21" i="36"/>
  <c r="N60" i="34"/>
  <c r="N61" i="34" s="1"/>
  <c r="D391" i="9"/>
  <c r="D365" i="9"/>
  <c r="D386" i="9"/>
  <c r="D360" i="9"/>
  <c r="D398" i="9"/>
  <c r="D372" i="9"/>
  <c r="F210" i="9"/>
  <c r="F212" i="9"/>
  <c r="D337" i="37"/>
  <c r="U5" i="36"/>
  <c r="N5" i="36"/>
  <c r="N172" i="37"/>
  <c r="N169" i="37"/>
  <c r="Q166" i="38" s="1"/>
  <c r="N168" i="37"/>
  <c r="N165" i="37"/>
  <c r="Q162" i="38" s="1"/>
  <c r="N164" i="37"/>
  <c r="F7" i="37"/>
  <c r="N171" i="37"/>
  <c r="Q168" i="38" s="1"/>
  <c r="E177" i="37"/>
  <c r="Q2" i="38"/>
  <c r="N167" i="37"/>
  <c r="Q164" i="38" s="1"/>
  <c r="F27" i="37"/>
  <c r="F29" i="37" s="1"/>
  <c r="F30" i="37" s="1"/>
  <c r="N170" i="37"/>
  <c r="Q167" i="38" s="1"/>
  <c r="N163" i="37"/>
  <c r="N166" i="37"/>
  <c r="Q163" i="38" s="1"/>
  <c r="F9" i="37"/>
  <c r="N162" i="37"/>
  <c r="Q159" i="38" s="1"/>
  <c r="N173" i="37"/>
  <c r="N41" i="38"/>
  <c r="N45" i="38"/>
  <c r="B398" i="37"/>
  <c r="B372" i="37"/>
  <c r="G21" i="40"/>
  <c r="H210" i="9"/>
  <c r="F340" i="33"/>
  <c r="E29" i="33"/>
  <c r="E30" i="33" s="1"/>
  <c r="P168" i="34" s="1"/>
  <c r="F345" i="33"/>
  <c r="F342" i="33"/>
  <c r="N57" i="6"/>
  <c r="U19" i="36"/>
  <c r="N19" i="36"/>
  <c r="E86" i="9"/>
  <c r="E88" i="9"/>
  <c r="E89" i="9"/>
  <c r="B382" i="37"/>
  <c r="B356" i="37"/>
  <c r="G5" i="40"/>
  <c r="B362" i="5"/>
  <c r="B388" i="5"/>
  <c r="N46" i="6"/>
  <c r="U17" i="36"/>
  <c r="N17" i="36"/>
  <c r="H179" i="33"/>
  <c r="B180" i="33"/>
  <c r="B355" i="5"/>
  <c r="B381" i="5"/>
  <c r="B401" i="5"/>
  <c r="B375" i="5"/>
  <c r="B370" i="5"/>
  <c r="B396" i="5"/>
  <c r="N55" i="6"/>
  <c r="N44" i="6"/>
  <c r="C10" i="5"/>
  <c r="B387" i="5"/>
  <c r="B361" i="5"/>
  <c r="B399" i="5"/>
  <c r="B373" i="5"/>
  <c r="N46" i="44"/>
  <c r="N52" i="44"/>
  <c r="N47" i="6"/>
  <c r="N41" i="44"/>
  <c r="N55" i="44"/>
  <c r="H210" i="37"/>
  <c r="G2" i="33"/>
  <c r="G3" i="33" s="1"/>
  <c r="G19" i="33" s="1"/>
  <c r="D350" i="37"/>
  <c r="F2" i="1"/>
  <c r="O10" i="38"/>
  <c r="O14" i="38"/>
  <c r="O9" i="38"/>
  <c r="O12" i="38"/>
  <c r="N23" i="36"/>
  <c r="U23" i="36"/>
  <c r="U10" i="40"/>
  <c r="N10" i="40"/>
  <c r="H302" i="9"/>
  <c r="H281" i="9"/>
  <c r="H279" i="9"/>
  <c r="H277" i="9"/>
  <c r="H276" i="9"/>
  <c r="H308" i="9"/>
  <c r="H285" i="9"/>
  <c r="H304" i="9"/>
  <c r="H282" i="9"/>
  <c r="H283" i="9"/>
  <c r="H303" i="9"/>
  <c r="H280" i="9"/>
  <c r="H284" i="9"/>
  <c r="H275" i="9"/>
  <c r="H312" i="9"/>
  <c r="H286" i="9"/>
  <c r="H289" i="9"/>
  <c r="H292" i="9"/>
  <c r="H310" i="9"/>
  <c r="H278" i="9"/>
  <c r="H290" i="9"/>
  <c r="H287" i="9"/>
  <c r="H295" i="9"/>
  <c r="H288" i="9"/>
  <c r="H293" i="9"/>
  <c r="H296" i="9"/>
  <c r="H298" i="9"/>
  <c r="H291" i="9"/>
  <c r="H294" i="9"/>
  <c r="H297" i="9"/>
  <c r="H321" i="9"/>
  <c r="H316" i="9"/>
  <c r="H314" i="9"/>
  <c r="H313" i="9"/>
  <c r="H309" i="9"/>
  <c r="H323" i="9"/>
  <c r="H301" i="9"/>
  <c r="H320" i="9"/>
  <c r="H305" i="9"/>
  <c r="H324" i="9"/>
  <c r="H319" i="9"/>
  <c r="H307" i="9"/>
  <c r="H311" i="9"/>
  <c r="H318" i="9"/>
  <c r="H317" i="9"/>
  <c r="H306" i="9"/>
  <c r="H322" i="9"/>
  <c r="H315" i="9"/>
  <c r="D375" i="9"/>
  <c r="D401" i="9"/>
  <c r="D388" i="9"/>
  <c r="D362" i="9"/>
  <c r="D376" i="9"/>
  <c r="D402" i="9"/>
  <c r="D345" i="37"/>
  <c r="N48" i="38"/>
  <c r="B377" i="37"/>
  <c r="B403" i="37"/>
  <c r="G26" i="40"/>
  <c r="N44" i="38"/>
  <c r="U25" i="36"/>
  <c r="N25" i="36"/>
  <c r="F347" i="33"/>
  <c r="F331" i="33"/>
  <c r="P166" i="34"/>
  <c r="P164" i="34"/>
  <c r="F338" i="33"/>
  <c r="D339" i="37"/>
  <c r="B384" i="5"/>
  <c r="B358" i="5"/>
  <c r="N42" i="44"/>
  <c r="C247" i="33"/>
  <c r="B68" i="33"/>
  <c r="H13" i="40"/>
  <c r="D364" i="37"/>
  <c r="D390" i="37"/>
  <c r="D390" i="9"/>
  <c r="D364" i="9"/>
  <c r="B366" i="5"/>
  <c r="B392" i="5"/>
  <c r="N51" i="44"/>
  <c r="H8" i="40"/>
  <c r="D385" i="37"/>
  <c r="D359" i="37"/>
  <c r="B363" i="5"/>
  <c r="B389" i="5"/>
  <c r="N58" i="6"/>
  <c r="N58" i="44"/>
  <c r="N47" i="44"/>
  <c r="G212" i="9"/>
  <c r="H212" i="37"/>
  <c r="E2" i="5"/>
  <c r="E4" i="5"/>
  <c r="D19" i="5"/>
  <c r="F3" i="5"/>
  <c r="F19" i="5" s="1"/>
  <c r="E3" i="5"/>
  <c r="E19" i="5" s="1"/>
  <c r="G3" i="5"/>
  <c r="G19" i="5" s="1"/>
  <c r="H89" i="33"/>
  <c r="F11" i="33"/>
  <c r="F26" i="33"/>
  <c r="H53" i="33"/>
  <c r="F6" i="33"/>
  <c r="F18" i="33" s="1"/>
  <c r="H51" i="33"/>
  <c r="H209" i="33"/>
  <c r="H207" i="33"/>
  <c r="H49" i="33"/>
  <c r="H54" i="33"/>
  <c r="H47" i="33"/>
  <c r="H48" i="33"/>
  <c r="F12" i="33"/>
  <c r="H50" i="33"/>
  <c r="H86" i="33"/>
  <c r="H97" i="33" s="1"/>
  <c r="F8" i="33"/>
  <c r="H88" i="33"/>
  <c r="H55" i="33"/>
  <c r="H52" i="33"/>
  <c r="H56" i="33" s="1"/>
  <c r="H247" i="33" s="1"/>
  <c r="F5" i="33"/>
  <c r="I213" i="9"/>
  <c r="E6" i="1"/>
  <c r="E8" i="1"/>
  <c r="E10" i="1"/>
  <c r="E26" i="1"/>
  <c r="E157" i="1"/>
  <c r="E5" i="1"/>
  <c r="E28" i="1"/>
  <c r="F55" i="1"/>
  <c r="G207" i="1"/>
  <c r="G47" i="1"/>
  <c r="D63" i="1"/>
  <c r="F48" i="1"/>
  <c r="F49" i="1"/>
  <c r="G53" i="1"/>
  <c r="D59" i="1"/>
  <c r="F51" i="1"/>
  <c r="F89" i="1"/>
  <c r="D65" i="1"/>
  <c r="G48" i="1"/>
  <c r="F52" i="1"/>
  <c r="F56" i="1" s="1"/>
  <c r="F247" i="1" s="1"/>
  <c r="F47" i="1"/>
  <c r="G52" i="1"/>
  <c r="G56" i="1" s="1"/>
  <c r="G247" i="1" s="1"/>
  <c r="G49" i="1"/>
  <c r="D60" i="1"/>
  <c r="H36" i="2" s="1"/>
  <c r="E11" i="1"/>
  <c r="F53" i="1"/>
  <c r="D61" i="1"/>
  <c r="E12" i="1"/>
  <c r="F86" i="1"/>
  <c r="F88" i="1"/>
  <c r="G55" i="1"/>
  <c r="G50" i="1"/>
  <c r="G54" i="1"/>
  <c r="D64" i="1"/>
  <c r="E159" i="1"/>
  <c r="D67" i="1"/>
  <c r="D62" i="1"/>
  <c r="E158" i="1"/>
  <c r="F54" i="1"/>
  <c r="D66" i="1"/>
  <c r="F50" i="1"/>
  <c r="G51" i="1"/>
  <c r="G209" i="1"/>
  <c r="D340" i="37"/>
  <c r="O21" i="38"/>
  <c r="O13" i="38"/>
  <c r="O19" i="38"/>
  <c r="D302" i="33"/>
  <c r="U24" i="36"/>
  <c r="N24" i="36"/>
  <c r="H211" i="9"/>
  <c r="N163" i="9"/>
  <c r="N167" i="9"/>
  <c r="N171" i="9"/>
  <c r="F27" i="9"/>
  <c r="F29" i="9" s="1"/>
  <c r="F30" i="9" s="1"/>
  <c r="N164" i="9"/>
  <c r="N168" i="9"/>
  <c r="N172" i="9"/>
  <c r="N165" i="9"/>
  <c r="N169" i="9"/>
  <c r="N173" i="9"/>
  <c r="F9" i="9"/>
  <c r="F13" i="9" s="1"/>
  <c r="N162" i="9"/>
  <c r="N170" i="9"/>
  <c r="N166" i="9"/>
  <c r="E177" i="9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H328" i="9"/>
  <c r="F7" i="9"/>
  <c r="H341" i="9"/>
  <c r="H345" i="9"/>
  <c r="H334" i="9"/>
  <c r="H338" i="9"/>
  <c r="H332" i="9"/>
  <c r="H351" i="9"/>
  <c r="H333" i="9"/>
  <c r="H344" i="9"/>
  <c r="H330" i="9"/>
  <c r="H348" i="9"/>
  <c r="H346" i="9"/>
  <c r="H337" i="9"/>
  <c r="H347" i="9"/>
  <c r="H329" i="9"/>
  <c r="H339" i="9"/>
  <c r="H342" i="9"/>
  <c r="H335" i="9"/>
  <c r="H349" i="9"/>
  <c r="H340" i="9"/>
  <c r="H343" i="9"/>
  <c r="H331" i="9"/>
  <c r="H336" i="9"/>
  <c r="H350" i="9"/>
  <c r="N7" i="36"/>
  <c r="U7" i="36"/>
  <c r="D373" i="9"/>
  <c r="D399" i="9"/>
  <c r="D374" i="9"/>
  <c r="D400" i="9"/>
  <c r="D387" i="9"/>
  <c r="D361" i="9"/>
  <c r="U22" i="36"/>
  <c r="N22" i="36"/>
  <c r="B69" i="37"/>
  <c r="B70" i="37" s="1"/>
  <c r="G12" i="40"/>
  <c r="B389" i="37"/>
  <c r="B363" i="37"/>
  <c r="B401" i="37"/>
  <c r="G24" i="40"/>
  <c r="B375" i="37"/>
  <c r="N37" i="38"/>
  <c r="B302" i="37"/>
  <c r="U15" i="36"/>
  <c r="N15" i="36"/>
  <c r="O205" i="38"/>
  <c r="O158" i="38"/>
  <c r="C56" i="9"/>
  <c r="B64" i="9"/>
  <c r="R6" i="38"/>
  <c r="I208" i="37"/>
  <c r="I206" i="37"/>
  <c r="F350" i="33"/>
  <c r="P161" i="34"/>
  <c r="P160" i="34"/>
  <c r="F346" i="33"/>
  <c r="P167" i="34"/>
  <c r="D157" i="33" l="1"/>
  <c r="O208" i="34" s="1"/>
  <c r="E7" i="35" s="1"/>
  <c r="O207" i="34"/>
  <c r="O206" i="34" s="1"/>
  <c r="N11" i="36"/>
  <c r="U11" i="36"/>
  <c r="O20" i="36"/>
  <c r="V20" i="36"/>
  <c r="V10" i="36"/>
  <c r="O10" i="36"/>
  <c r="V7" i="36"/>
  <c r="O7" i="36"/>
  <c r="O4" i="36"/>
  <c r="V4" i="36"/>
  <c r="O30" i="44"/>
  <c r="O57" i="44" s="1"/>
  <c r="O26" i="36"/>
  <c r="V26" i="36"/>
  <c r="O14" i="36"/>
  <c r="V14" i="36"/>
  <c r="O29" i="44"/>
  <c r="O56" i="44" s="1"/>
  <c r="O27" i="6"/>
  <c r="F2" i="5"/>
  <c r="O14" i="6"/>
  <c r="O29" i="6"/>
  <c r="O25" i="44"/>
  <c r="O52" i="44" s="1"/>
  <c r="O22" i="44"/>
  <c r="O49" i="44" s="1"/>
  <c r="O13" i="44"/>
  <c r="O23" i="6"/>
  <c r="G2" i="5"/>
  <c r="I206" i="5" s="1"/>
  <c r="O23" i="44"/>
  <c r="O50" i="44" s="1"/>
  <c r="O19" i="44"/>
  <c r="O46" i="44" s="1"/>
  <c r="O20" i="6"/>
  <c r="O18" i="6"/>
  <c r="O26" i="44"/>
  <c r="O53" i="44" s="1"/>
  <c r="O27" i="44"/>
  <c r="O54" i="44" s="1"/>
  <c r="O24" i="44"/>
  <c r="O51" i="44" s="1"/>
  <c r="O17" i="6"/>
  <c r="O28" i="44"/>
  <c r="O55" i="44" s="1"/>
  <c r="O31" i="44"/>
  <c r="O58" i="44" s="1"/>
  <c r="O25" i="6"/>
  <c r="O21" i="44"/>
  <c r="O48" i="44" s="1"/>
  <c r="O19" i="6"/>
  <c r="O46" i="6" s="1"/>
  <c r="O14" i="44"/>
  <c r="O41" i="44" s="1"/>
  <c r="O16" i="6"/>
  <c r="O20" i="44"/>
  <c r="O47" i="44" s="1"/>
  <c r="O21" i="6"/>
  <c r="O24" i="6"/>
  <c r="O15" i="44"/>
  <c r="O42" i="44" s="1"/>
  <c r="O18" i="44"/>
  <c r="O45" i="44" s="1"/>
  <c r="O15" i="6"/>
  <c r="O42" i="6" s="1"/>
  <c r="O26" i="6"/>
  <c r="P6" i="2"/>
  <c r="N18" i="40"/>
  <c r="G208" i="1"/>
  <c r="F209" i="1"/>
  <c r="U23" i="40"/>
  <c r="E25" i="1"/>
  <c r="I208" i="1"/>
  <c r="H211" i="1"/>
  <c r="C29" i="1"/>
  <c r="B382" i="1"/>
  <c r="B356" i="1"/>
  <c r="B398" i="1"/>
  <c r="B372" i="1"/>
  <c r="E14" i="1"/>
  <c r="G205" i="1" s="1"/>
  <c r="I206" i="1"/>
  <c r="I51" i="1"/>
  <c r="E61" i="1"/>
  <c r="H47" i="1"/>
  <c r="I50" i="1"/>
  <c r="H55" i="1"/>
  <c r="B400" i="1"/>
  <c r="B374" i="1"/>
  <c r="B393" i="1"/>
  <c r="B367" i="1"/>
  <c r="B389" i="1"/>
  <c r="B363" i="1"/>
  <c r="B402" i="1"/>
  <c r="B376" i="1"/>
  <c r="B375" i="1"/>
  <c r="B401" i="1"/>
  <c r="B403" i="1"/>
  <c r="B377" i="1"/>
  <c r="B380" i="1"/>
  <c r="B354" i="1"/>
  <c r="C88" i="1"/>
  <c r="C55" i="1"/>
  <c r="B67" i="1" s="1"/>
  <c r="C48" i="1"/>
  <c r="B60" i="1" s="1"/>
  <c r="E36" i="2" s="1"/>
  <c r="C89" i="1"/>
  <c r="C53" i="1"/>
  <c r="B65" i="1" s="1"/>
  <c r="C50" i="1"/>
  <c r="B62" i="1" s="1"/>
  <c r="C47" i="1"/>
  <c r="B59" i="1" s="1"/>
  <c r="C49" i="1"/>
  <c r="B61" i="1" s="1"/>
  <c r="C86" i="1"/>
  <c r="C51" i="1"/>
  <c r="B63" i="1" s="1"/>
  <c r="C54" i="1"/>
  <c r="B66" i="1" s="1"/>
  <c r="C52" i="1"/>
  <c r="B364" i="1"/>
  <c r="B390" i="1"/>
  <c r="R6" i="2"/>
  <c r="G18" i="1"/>
  <c r="B369" i="1"/>
  <c r="B395" i="1"/>
  <c r="B397" i="1"/>
  <c r="B371" i="1"/>
  <c r="C13" i="1"/>
  <c r="E212" i="1"/>
  <c r="E210" i="1"/>
  <c r="B383" i="1"/>
  <c r="B357" i="1"/>
  <c r="B399" i="1"/>
  <c r="B373" i="1"/>
  <c r="F207" i="1"/>
  <c r="B387" i="1"/>
  <c r="B361" i="1"/>
  <c r="D158" i="33"/>
  <c r="E67" i="1"/>
  <c r="I49" i="1"/>
  <c r="E62" i="1"/>
  <c r="E64" i="1"/>
  <c r="F6" i="1"/>
  <c r="F9" i="1" s="1"/>
  <c r="B394" i="1"/>
  <c r="B368" i="1"/>
  <c r="B385" i="1"/>
  <c r="B359" i="1"/>
  <c r="B388" i="1"/>
  <c r="B362" i="1"/>
  <c r="B360" i="1"/>
  <c r="B386" i="1"/>
  <c r="B381" i="1"/>
  <c r="B355" i="1"/>
  <c r="N17" i="40"/>
  <c r="D159" i="33"/>
  <c r="F11" i="1"/>
  <c r="H209" i="1"/>
  <c r="H213" i="1" s="1"/>
  <c r="I54" i="1"/>
  <c r="E63" i="1"/>
  <c r="F28" i="1"/>
  <c r="B392" i="1"/>
  <c r="B366" i="1"/>
  <c r="C10" i="1"/>
  <c r="E34" i="2" s="1"/>
  <c r="N32" i="2"/>
  <c r="B365" i="1"/>
  <c r="B391" i="1"/>
  <c r="D26" i="1"/>
  <c r="O210" i="34"/>
  <c r="O211" i="34" s="1"/>
  <c r="F158" i="1"/>
  <c r="H86" i="1"/>
  <c r="E65" i="1"/>
  <c r="H53" i="1"/>
  <c r="E59" i="1"/>
  <c r="B358" i="1"/>
  <c r="B384" i="1"/>
  <c r="B370" i="1"/>
  <c r="B396" i="1"/>
  <c r="D8" i="1"/>
  <c r="D6" i="1" s="1"/>
  <c r="D11" i="1"/>
  <c r="D12" i="1" s="1"/>
  <c r="D51" i="1"/>
  <c r="D52" i="1"/>
  <c r="D56" i="1" s="1"/>
  <c r="D247" i="1" s="1"/>
  <c r="D54" i="1"/>
  <c r="D50" i="1"/>
  <c r="D53" i="1"/>
  <c r="D55" i="1"/>
  <c r="D47" i="1"/>
  <c r="D89" i="1"/>
  <c r="D86" i="1"/>
  <c r="D49" i="1"/>
  <c r="D48" i="1"/>
  <c r="D88" i="1"/>
  <c r="D5" i="1"/>
  <c r="O18" i="2" s="1"/>
  <c r="O46" i="2" s="1"/>
  <c r="O20" i="2"/>
  <c r="O48" i="2" s="1"/>
  <c r="O12" i="2"/>
  <c r="O40" i="2" s="1"/>
  <c r="O17" i="2"/>
  <c r="O45" i="2" s="1"/>
  <c r="O8" i="2"/>
  <c r="O11" i="2"/>
  <c r="O39" i="2" s="1"/>
  <c r="O15" i="2"/>
  <c r="O43" i="2" s="1"/>
  <c r="D28" i="1"/>
  <c r="O21" i="2"/>
  <c r="O49" i="2" s="1"/>
  <c r="U4" i="40"/>
  <c r="U19" i="40"/>
  <c r="N13" i="40"/>
  <c r="U14" i="40"/>
  <c r="D68" i="1"/>
  <c r="N207" i="34"/>
  <c r="C157" i="33"/>
  <c r="J50" i="33"/>
  <c r="J51" i="33"/>
  <c r="G5" i="33"/>
  <c r="J48" i="33"/>
  <c r="G8" i="33"/>
  <c r="G25" i="33"/>
  <c r="G26" i="33" s="1"/>
  <c r="G28" i="33" s="1"/>
  <c r="G6" i="33"/>
  <c r="J88" i="33"/>
  <c r="J86" i="33"/>
  <c r="J97" i="33" s="1"/>
  <c r="J54" i="33"/>
  <c r="J53" i="33"/>
  <c r="J52" i="33"/>
  <c r="J56" i="33" s="1"/>
  <c r="J247" i="33" s="1"/>
  <c r="G11" i="33"/>
  <c r="G12" i="33" s="1"/>
  <c r="J55" i="33"/>
  <c r="J47" i="33"/>
  <c r="J49" i="33"/>
  <c r="J89" i="33"/>
  <c r="P18" i="36"/>
  <c r="W18" i="36"/>
  <c r="D354" i="37"/>
  <c r="H3" i="40"/>
  <c r="D380" i="37"/>
  <c r="H204" i="9"/>
  <c r="E69" i="9"/>
  <c r="E70" i="9"/>
  <c r="F372" i="33"/>
  <c r="I21" i="36"/>
  <c r="F398" i="33"/>
  <c r="H365" i="9"/>
  <c r="H391" i="9"/>
  <c r="H385" i="9"/>
  <c r="H359" i="9"/>
  <c r="H380" i="9"/>
  <c r="H354" i="9"/>
  <c r="F28" i="33"/>
  <c r="G4" i="5"/>
  <c r="H388" i="9"/>
  <c r="H362" i="9"/>
  <c r="H355" i="9"/>
  <c r="H381" i="9"/>
  <c r="H377" i="9"/>
  <c r="H403" i="9"/>
  <c r="G213" i="1"/>
  <c r="F276" i="1"/>
  <c r="F278" i="1"/>
  <c r="F275" i="1"/>
  <c r="F277" i="1"/>
  <c r="F279" i="1"/>
  <c r="F288" i="1"/>
  <c r="F298" i="1"/>
  <c r="F290" i="1"/>
  <c r="F280" i="1"/>
  <c r="F284" i="1"/>
  <c r="F287" i="1"/>
  <c r="F285" i="1"/>
  <c r="F292" i="1"/>
  <c r="F294" i="1"/>
  <c r="F297" i="1"/>
  <c r="F291" i="1"/>
  <c r="F295" i="1"/>
  <c r="F281" i="1"/>
  <c r="F282" i="1"/>
  <c r="F283" i="1"/>
  <c r="F286" i="1"/>
  <c r="F293" i="1"/>
  <c r="F289" i="1"/>
  <c r="F296" i="1"/>
  <c r="H14" i="40"/>
  <c r="D391" i="37"/>
  <c r="D365" i="37"/>
  <c r="O37" i="38"/>
  <c r="C220" i="33"/>
  <c r="C250" i="33" s="1"/>
  <c r="B303" i="33"/>
  <c r="F366" i="33"/>
  <c r="F392" i="33"/>
  <c r="I15" i="36"/>
  <c r="F13" i="37"/>
  <c r="Q9" i="38"/>
  <c r="Q11" i="38"/>
  <c r="Q22" i="38"/>
  <c r="Q14" i="38"/>
  <c r="Q23" i="38"/>
  <c r="Q10" i="38"/>
  <c r="Q28" i="38"/>
  <c r="Q25" i="38"/>
  <c r="Q15" i="38"/>
  <c r="Q8" i="38"/>
  <c r="F10" i="37"/>
  <c r="Q165" i="38"/>
  <c r="I179" i="37"/>
  <c r="E220" i="37" s="1"/>
  <c r="E250" i="37" s="1"/>
  <c r="C180" i="37"/>
  <c r="O58" i="6"/>
  <c r="D27" i="5"/>
  <c r="D29" i="5" s="1"/>
  <c r="D30" i="5" s="1"/>
  <c r="O2" i="44"/>
  <c r="L164" i="5"/>
  <c r="L168" i="5"/>
  <c r="L172" i="5"/>
  <c r="L165" i="5"/>
  <c r="L169" i="5"/>
  <c r="L173" i="5"/>
  <c r="L162" i="5"/>
  <c r="L163" i="5"/>
  <c r="L167" i="5"/>
  <c r="L171" i="5"/>
  <c r="L170" i="5"/>
  <c r="L166" i="5"/>
  <c r="O2" i="6"/>
  <c r="D7" i="5"/>
  <c r="D9" i="5"/>
  <c r="C177" i="5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D341" i="5"/>
  <c r="D347" i="5"/>
  <c r="D348" i="5"/>
  <c r="D333" i="5"/>
  <c r="D339" i="5"/>
  <c r="D335" i="5"/>
  <c r="D346" i="5"/>
  <c r="D350" i="5"/>
  <c r="D331" i="5"/>
  <c r="D330" i="5"/>
  <c r="D337" i="5"/>
  <c r="D343" i="5"/>
  <c r="D332" i="5"/>
  <c r="D342" i="5"/>
  <c r="D334" i="5"/>
  <c r="D344" i="5"/>
  <c r="D351" i="5"/>
  <c r="D336" i="5"/>
  <c r="D328" i="5"/>
  <c r="D338" i="5"/>
  <c r="D345" i="5"/>
  <c r="D349" i="5"/>
  <c r="D340" i="5"/>
  <c r="D329" i="5"/>
  <c r="N60" i="38"/>
  <c r="H10" i="40"/>
  <c r="D387" i="37"/>
  <c r="D361" i="37"/>
  <c r="G56" i="33"/>
  <c r="D64" i="33"/>
  <c r="U9" i="40"/>
  <c r="N9" i="40"/>
  <c r="P163" i="34"/>
  <c r="O54" i="38"/>
  <c r="P57" i="34"/>
  <c r="P49" i="34"/>
  <c r="P56" i="34"/>
  <c r="P46" i="34"/>
  <c r="O48" i="38"/>
  <c r="J372" i="9"/>
  <c r="J398" i="9"/>
  <c r="J390" i="9"/>
  <c r="J364" i="9"/>
  <c r="J396" i="9"/>
  <c r="J370" i="9"/>
  <c r="F17" i="33"/>
  <c r="P161" i="38"/>
  <c r="P160" i="38"/>
  <c r="F377" i="9"/>
  <c r="F403" i="9"/>
  <c r="F357" i="9"/>
  <c r="F383" i="9"/>
  <c r="D397" i="37"/>
  <c r="D371" i="37"/>
  <c r="H20" i="40"/>
  <c r="O59" i="38"/>
  <c r="H275" i="1"/>
  <c r="H277" i="1"/>
  <c r="H279" i="1"/>
  <c r="H276" i="1"/>
  <c r="H280" i="1"/>
  <c r="H285" i="1"/>
  <c r="H292" i="1"/>
  <c r="H295" i="1"/>
  <c r="H286" i="1"/>
  <c r="H281" i="1"/>
  <c r="H293" i="1"/>
  <c r="H282" i="1"/>
  <c r="H291" i="1"/>
  <c r="H283" i="1"/>
  <c r="H289" i="1"/>
  <c r="H298" i="1"/>
  <c r="H284" i="1"/>
  <c r="H288" i="1"/>
  <c r="H278" i="1"/>
  <c r="H296" i="1"/>
  <c r="H290" i="1"/>
  <c r="H294" i="1"/>
  <c r="H297" i="1"/>
  <c r="H287" i="1"/>
  <c r="F392" i="9"/>
  <c r="F366" i="9"/>
  <c r="F385" i="9"/>
  <c r="F359" i="9"/>
  <c r="I25" i="36"/>
  <c r="F402" i="33"/>
  <c r="F376" i="33"/>
  <c r="H369" i="9"/>
  <c r="H395" i="9"/>
  <c r="H389" i="9"/>
  <c r="H363" i="9"/>
  <c r="H364" i="9"/>
  <c r="H390" i="9"/>
  <c r="E157" i="5"/>
  <c r="E5" i="5"/>
  <c r="E26" i="5"/>
  <c r="E28" i="5"/>
  <c r="F49" i="5"/>
  <c r="F47" i="5"/>
  <c r="F50" i="5"/>
  <c r="F88" i="5"/>
  <c r="F89" i="5"/>
  <c r="F48" i="5"/>
  <c r="F86" i="5"/>
  <c r="E11" i="5"/>
  <c r="E8" i="5"/>
  <c r="G207" i="5"/>
  <c r="E12" i="5"/>
  <c r="E6" i="5"/>
  <c r="F55" i="5"/>
  <c r="F54" i="5"/>
  <c r="F53" i="5"/>
  <c r="F52" i="5"/>
  <c r="F56" i="5" s="1"/>
  <c r="F247" i="5" s="1"/>
  <c r="F51" i="5"/>
  <c r="G209" i="5"/>
  <c r="G48" i="5"/>
  <c r="D67" i="5"/>
  <c r="D65" i="5"/>
  <c r="D60" i="5"/>
  <c r="G49" i="5"/>
  <c r="G52" i="5"/>
  <c r="G56" i="5" s="1"/>
  <c r="G247" i="5" s="1"/>
  <c r="G47" i="5"/>
  <c r="D61" i="5"/>
  <c r="G51" i="5"/>
  <c r="D59" i="5"/>
  <c r="G54" i="5"/>
  <c r="D63" i="5"/>
  <c r="D66" i="5"/>
  <c r="G50" i="5"/>
  <c r="D62" i="5"/>
  <c r="E10" i="5"/>
  <c r="E14" i="5" s="1"/>
  <c r="G205" i="5" s="1"/>
  <c r="G55" i="5"/>
  <c r="G53" i="5"/>
  <c r="D64" i="5"/>
  <c r="E159" i="5"/>
  <c r="E158" i="5"/>
  <c r="F390" i="33"/>
  <c r="I13" i="36"/>
  <c r="F364" i="33"/>
  <c r="O38" i="38"/>
  <c r="D303" i="37"/>
  <c r="Q160" i="38"/>
  <c r="Q169" i="38"/>
  <c r="O55" i="38"/>
  <c r="O43" i="6"/>
  <c r="O41" i="6"/>
  <c r="O49" i="6"/>
  <c r="O53" i="6"/>
  <c r="O54" i="6"/>
  <c r="O50" i="6"/>
  <c r="P162" i="34"/>
  <c r="N11" i="40"/>
  <c r="U11" i="40"/>
  <c r="H26" i="40"/>
  <c r="D403" i="37"/>
  <c r="D377" i="37"/>
  <c r="O44" i="38"/>
  <c r="W11" i="36"/>
  <c r="P11" i="36"/>
  <c r="U8" i="40"/>
  <c r="N8" i="40"/>
  <c r="I14" i="36"/>
  <c r="F391" i="33"/>
  <c r="F365" i="33"/>
  <c r="N25" i="40"/>
  <c r="U25" i="40"/>
  <c r="O50" i="38"/>
  <c r="P58" i="34"/>
  <c r="P39" i="34"/>
  <c r="P52" i="34"/>
  <c r="F377" i="33"/>
  <c r="F403" i="33"/>
  <c r="I26" i="36"/>
  <c r="J402" i="9"/>
  <c r="J376" i="9"/>
  <c r="J385" i="9"/>
  <c r="J359" i="9"/>
  <c r="J399" i="9"/>
  <c r="J373" i="9"/>
  <c r="H17" i="40"/>
  <c r="D394" i="37"/>
  <c r="D368" i="37"/>
  <c r="P159" i="38"/>
  <c r="P29" i="38"/>
  <c r="P22" i="38"/>
  <c r="P31" i="38"/>
  <c r="P26" i="38"/>
  <c r="P14" i="38"/>
  <c r="P13" i="38"/>
  <c r="P12" i="38"/>
  <c r="P28" i="38"/>
  <c r="P15" i="38"/>
  <c r="E13" i="37"/>
  <c r="P8" i="38"/>
  <c r="P10" i="38"/>
  <c r="G212" i="37"/>
  <c r="G210" i="37"/>
  <c r="E10" i="37"/>
  <c r="F398" i="9"/>
  <c r="F372" i="9"/>
  <c r="F362" i="9"/>
  <c r="F388" i="9"/>
  <c r="G88" i="9"/>
  <c r="G89" i="9"/>
  <c r="G86" i="9"/>
  <c r="D70" i="9"/>
  <c r="G204" i="9"/>
  <c r="D69" i="9"/>
  <c r="U12" i="40"/>
  <c r="N12" i="40"/>
  <c r="H358" i="9"/>
  <c r="H384" i="9"/>
  <c r="O42" i="38"/>
  <c r="I24" i="36"/>
  <c r="F401" i="33"/>
  <c r="F375" i="33"/>
  <c r="G204" i="33"/>
  <c r="D69" i="33"/>
  <c r="D70" i="33"/>
  <c r="H392" i="9"/>
  <c r="H366" i="9"/>
  <c r="H398" i="9"/>
  <c r="H372" i="9"/>
  <c r="H360" i="9"/>
  <c r="H386" i="9"/>
  <c r="O47" i="38"/>
  <c r="G211" i="1"/>
  <c r="Q6" i="44"/>
  <c r="F25" i="5"/>
  <c r="Q6" i="6"/>
  <c r="H206" i="5"/>
  <c r="F17" i="5"/>
  <c r="F18" i="5"/>
  <c r="H208" i="5"/>
  <c r="B275" i="33"/>
  <c r="B276" i="33"/>
  <c r="B277" i="33"/>
  <c r="B301" i="33"/>
  <c r="U26" i="40"/>
  <c r="N26" i="40"/>
  <c r="E211" i="5"/>
  <c r="C14" i="5"/>
  <c r="E205" i="5" s="1"/>
  <c r="E213" i="5"/>
  <c r="U5" i="40"/>
  <c r="N5" i="40"/>
  <c r="P165" i="34"/>
  <c r="U21" i="40"/>
  <c r="N21" i="40"/>
  <c r="E178" i="37"/>
  <c r="K177" i="37"/>
  <c r="I218" i="37" s="1"/>
  <c r="I248" i="37" s="1"/>
  <c r="O56" i="38"/>
  <c r="O52" i="6"/>
  <c r="O40" i="44"/>
  <c r="F384" i="33"/>
  <c r="F358" i="33"/>
  <c r="I7" i="36"/>
  <c r="O46" i="38"/>
  <c r="D179" i="33"/>
  <c r="J178" i="33"/>
  <c r="G219" i="33" s="1"/>
  <c r="G249" i="33" s="1"/>
  <c r="P169" i="34"/>
  <c r="N15" i="40"/>
  <c r="U15" i="40"/>
  <c r="P5" i="36"/>
  <c r="W5" i="36"/>
  <c r="I19" i="36"/>
  <c r="F370" i="33"/>
  <c r="F396" i="33"/>
  <c r="P40" i="34"/>
  <c r="P47" i="34"/>
  <c r="I12" i="36"/>
  <c r="F389" i="33"/>
  <c r="F363" i="33"/>
  <c r="D303" i="33"/>
  <c r="J401" i="9"/>
  <c r="J375" i="9"/>
  <c r="J386" i="9"/>
  <c r="J360" i="9"/>
  <c r="J387" i="9"/>
  <c r="J361" i="9"/>
  <c r="H11" i="40"/>
  <c r="D388" i="37"/>
  <c r="D362" i="37"/>
  <c r="P165" i="38"/>
  <c r="F367" i="9"/>
  <c r="F393" i="9"/>
  <c r="F373" i="9"/>
  <c r="F399" i="9"/>
  <c r="F389" i="9"/>
  <c r="F363" i="9"/>
  <c r="F368" i="9"/>
  <c r="F394" i="9"/>
  <c r="C247" i="9"/>
  <c r="B68" i="9"/>
  <c r="O41" i="38"/>
  <c r="O8" i="40"/>
  <c r="V8" i="40"/>
  <c r="I17" i="36"/>
  <c r="F368" i="33"/>
  <c r="F394" i="33"/>
  <c r="O43" i="38"/>
  <c r="O56" i="6"/>
  <c r="O21" i="40"/>
  <c r="V21" i="40"/>
  <c r="W9" i="36"/>
  <c r="P9" i="36"/>
  <c r="I4" i="36"/>
  <c r="F355" i="33"/>
  <c r="F381" i="33"/>
  <c r="C68" i="37"/>
  <c r="E247" i="37"/>
  <c r="D302" i="37" s="1"/>
  <c r="V5" i="40"/>
  <c r="O5" i="40"/>
  <c r="P170" i="34"/>
  <c r="I16" i="36"/>
  <c r="F367" i="33"/>
  <c r="F393" i="33"/>
  <c r="E68" i="1"/>
  <c r="P3" i="36"/>
  <c r="W3" i="36"/>
  <c r="P42" i="34"/>
  <c r="P38" i="34"/>
  <c r="P37" i="34"/>
  <c r="F359" i="33"/>
  <c r="I8" i="36"/>
  <c r="F385" i="33"/>
  <c r="C181" i="33"/>
  <c r="I180" i="33"/>
  <c r="E221" i="33" s="1"/>
  <c r="E251" i="33" s="1"/>
  <c r="D304" i="33" s="1"/>
  <c r="J366" i="9"/>
  <c r="J392" i="9"/>
  <c r="J383" i="9"/>
  <c r="J357" i="9"/>
  <c r="J362" i="9"/>
  <c r="J388" i="9"/>
  <c r="J363" i="9"/>
  <c r="J389" i="9"/>
  <c r="H16" i="40"/>
  <c r="D393" i="37"/>
  <c r="D367" i="37"/>
  <c r="P167" i="38"/>
  <c r="P170" i="38"/>
  <c r="F395" i="9"/>
  <c r="F369" i="9"/>
  <c r="F390" i="9"/>
  <c r="F364" i="9"/>
  <c r="F397" i="9"/>
  <c r="F371" i="9"/>
  <c r="F356" i="9"/>
  <c r="F382" i="9"/>
  <c r="B64" i="5"/>
  <c r="C56" i="5"/>
  <c r="B69" i="5" s="1"/>
  <c r="B70" i="5" s="1"/>
  <c r="H383" i="9"/>
  <c r="H357" i="9"/>
  <c r="V13" i="40"/>
  <c r="O13" i="40"/>
  <c r="O40" i="6"/>
  <c r="P51" i="34"/>
  <c r="F25" i="1"/>
  <c r="F27" i="1" s="1"/>
  <c r="F29" i="1" s="1"/>
  <c r="F30" i="1" s="1"/>
  <c r="Q6" i="2"/>
  <c r="F18" i="1"/>
  <c r="H208" i="1"/>
  <c r="F17" i="1"/>
  <c r="H206" i="1"/>
  <c r="U24" i="40"/>
  <c r="N24" i="40"/>
  <c r="H361" i="9"/>
  <c r="H387" i="9"/>
  <c r="H382" i="9"/>
  <c r="H356" i="9"/>
  <c r="H393" i="9"/>
  <c r="H367" i="9"/>
  <c r="O49" i="38"/>
  <c r="P6" i="44"/>
  <c r="E25" i="5"/>
  <c r="P6" i="6"/>
  <c r="G208" i="5"/>
  <c r="G206" i="5"/>
  <c r="E17" i="5"/>
  <c r="E18" i="5"/>
  <c r="I6" i="36"/>
  <c r="F383" i="33"/>
  <c r="F357" i="33"/>
  <c r="P159" i="34"/>
  <c r="H343" i="37"/>
  <c r="Q170" i="38"/>
  <c r="H338" i="37"/>
  <c r="I88" i="37"/>
  <c r="I89" i="37"/>
  <c r="I86" i="37"/>
  <c r="I97" i="37" s="1"/>
  <c r="I53" i="37"/>
  <c r="E65" i="37" s="1"/>
  <c r="I52" i="37"/>
  <c r="I48" i="37"/>
  <c r="E60" i="37" s="1"/>
  <c r="I47" i="37"/>
  <c r="E59" i="37" s="1"/>
  <c r="I55" i="37"/>
  <c r="E67" i="37" s="1"/>
  <c r="I51" i="37"/>
  <c r="E63" i="37" s="1"/>
  <c r="I49" i="37"/>
  <c r="E61" i="37" s="1"/>
  <c r="I50" i="37"/>
  <c r="E62" i="37" s="1"/>
  <c r="I54" i="37"/>
  <c r="E66" i="37" s="1"/>
  <c r="H12" i="40"/>
  <c r="D363" i="37"/>
  <c r="D389" i="37"/>
  <c r="B302" i="33"/>
  <c r="O32" i="38"/>
  <c r="F400" i="33"/>
  <c r="F374" i="33"/>
  <c r="I23" i="36"/>
  <c r="O45" i="38"/>
  <c r="O18" i="40"/>
  <c r="V18" i="40"/>
  <c r="G5" i="35"/>
  <c r="F5" i="35"/>
  <c r="F8" i="35"/>
  <c r="F6" i="35"/>
  <c r="F7" i="35"/>
  <c r="F99" i="33"/>
  <c r="N162" i="1"/>
  <c r="N163" i="1"/>
  <c r="N167" i="1"/>
  <c r="N171" i="1"/>
  <c r="N164" i="1"/>
  <c r="N168" i="1"/>
  <c r="N172" i="1"/>
  <c r="N165" i="1"/>
  <c r="N169" i="1"/>
  <c r="N173" i="1"/>
  <c r="N166" i="1"/>
  <c r="N170" i="1"/>
  <c r="Q2" i="2"/>
  <c r="H348" i="1"/>
  <c r="H347" i="1"/>
  <c r="H344" i="1"/>
  <c r="E177" i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H330" i="1"/>
  <c r="H332" i="1"/>
  <c r="H336" i="1"/>
  <c r="H349" i="1"/>
  <c r="H350" i="1"/>
  <c r="H339" i="1"/>
  <c r="H333" i="1"/>
  <c r="H337" i="1"/>
  <c r="H345" i="1"/>
  <c r="H341" i="1"/>
  <c r="H351" i="1"/>
  <c r="H328" i="1"/>
  <c r="H346" i="1"/>
  <c r="H331" i="1"/>
  <c r="H343" i="1"/>
  <c r="H329" i="1"/>
  <c r="H334" i="1"/>
  <c r="H335" i="1"/>
  <c r="H342" i="1"/>
  <c r="H338" i="1"/>
  <c r="H340" i="1"/>
  <c r="Q9" i="2"/>
  <c r="Q12" i="2"/>
  <c r="Q22" i="2"/>
  <c r="Q15" i="2"/>
  <c r="Q17" i="2"/>
  <c r="Q20" i="2"/>
  <c r="Q23" i="2"/>
  <c r="Q25" i="2"/>
  <c r="Q11" i="2"/>
  <c r="Q28" i="2"/>
  <c r="Q31" i="2"/>
  <c r="Q19" i="2"/>
  <c r="Q8" i="2"/>
  <c r="Q27" i="2"/>
  <c r="Q30" i="2"/>
  <c r="Q29" i="2"/>
  <c r="Q16" i="2"/>
  <c r="Q10" i="2"/>
  <c r="Q13" i="2"/>
  <c r="Q14" i="2"/>
  <c r="Q24" i="2"/>
  <c r="Q18" i="2"/>
  <c r="Q21" i="2"/>
  <c r="Q26" i="2"/>
  <c r="O9" i="40"/>
  <c r="V9" i="40"/>
  <c r="P44" i="34"/>
  <c r="P55" i="34"/>
  <c r="P32" i="34"/>
  <c r="P36" i="34"/>
  <c r="I10" i="36"/>
  <c r="F387" i="33"/>
  <c r="F361" i="33"/>
  <c r="J395" i="9"/>
  <c r="J369" i="9"/>
  <c r="J368" i="9"/>
  <c r="J394" i="9"/>
  <c r="J384" i="9"/>
  <c r="J358" i="9"/>
  <c r="K89" i="9"/>
  <c r="K86" i="9"/>
  <c r="K88" i="9"/>
  <c r="J177" i="37"/>
  <c r="G218" i="37" s="1"/>
  <c r="G248" i="37" s="1"/>
  <c r="D178" i="37"/>
  <c r="G89" i="37"/>
  <c r="G86" i="37"/>
  <c r="G97" i="37" s="1"/>
  <c r="G88" i="37"/>
  <c r="G55" i="37"/>
  <c r="D67" i="37" s="1"/>
  <c r="G51" i="37"/>
  <c r="D63" i="37" s="1"/>
  <c r="G48" i="37"/>
  <c r="D60" i="37" s="1"/>
  <c r="G54" i="37"/>
  <c r="D66" i="37" s="1"/>
  <c r="G47" i="37"/>
  <c r="D59" i="37" s="1"/>
  <c r="G53" i="37"/>
  <c r="D65" i="37" s="1"/>
  <c r="G49" i="37"/>
  <c r="D61" i="37" s="1"/>
  <c r="G52" i="37"/>
  <c r="G50" i="37"/>
  <c r="D62" i="37" s="1"/>
  <c r="F358" i="9"/>
  <c r="F384" i="9"/>
  <c r="F380" i="9"/>
  <c r="F354" i="9"/>
  <c r="F387" i="9"/>
  <c r="F361" i="9"/>
  <c r="P54" i="34"/>
  <c r="J382" i="9"/>
  <c r="J356" i="9"/>
  <c r="H375" i="9"/>
  <c r="H401" i="9"/>
  <c r="H397" i="9"/>
  <c r="H371" i="9"/>
  <c r="R6" i="44"/>
  <c r="G18" i="5"/>
  <c r="H368" i="9"/>
  <c r="H394" i="9"/>
  <c r="H370" i="9"/>
  <c r="H396" i="9"/>
  <c r="I86" i="9"/>
  <c r="I88" i="9"/>
  <c r="I89" i="9"/>
  <c r="E9" i="1"/>
  <c r="G210" i="1" s="1"/>
  <c r="M166" i="1"/>
  <c r="M170" i="1"/>
  <c r="M162" i="1"/>
  <c r="M163" i="1"/>
  <c r="M167" i="1"/>
  <c r="M171" i="1"/>
  <c r="M164" i="1"/>
  <c r="M168" i="1"/>
  <c r="M172" i="1"/>
  <c r="E27" i="1"/>
  <c r="E29" i="1" s="1"/>
  <c r="E30" i="1" s="1"/>
  <c r="M173" i="1"/>
  <c r="M165" i="1"/>
  <c r="M169" i="1"/>
  <c r="F342" i="1"/>
  <c r="F335" i="1"/>
  <c r="F346" i="1"/>
  <c r="F343" i="1"/>
  <c r="F348" i="1"/>
  <c r="F334" i="1"/>
  <c r="F328" i="1"/>
  <c r="F351" i="1"/>
  <c r="F338" i="1"/>
  <c r="F341" i="1"/>
  <c r="P2" i="2"/>
  <c r="F336" i="1"/>
  <c r="F350" i="1"/>
  <c r="F349" i="1"/>
  <c r="D177" i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F344" i="1"/>
  <c r="F333" i="1"/>
  <c r="F347" i="1"/>
  <c r="E7" i="1"/>
  <c r="F340" i="1"/>
  <c r="F330" i="1"/>
  <c r="F329" i="1"/>
  <c r="F339" i="1"/>
  <c r="F331" i="1"/>
  <c r="F345" i="1"/>
  <c r="F332" i="1"/>
  <c r="F337" i="1"/>
  <c r="P29" i="2"/>
  <c r="P17" i="2"/>
  <c r="P14" i="2"/>
  <c r="P25" i="2"/>
  <c r="P22" i="2"/>
  <c r="P8" i="2"/>
  <c r="P11" i="2"/>
  <c r="P30" i="2"/>
  <c r="P16" i="2"/>
  <c r="P19" i="2"/>
  <c r="P28" i="2"/>
  <c r="P24" i="2"/>
  <c r="P27" i="2"/>
  <c r="P12" i="2"/>
  <c r="P9" i="2"/>
  <c r="P15" i="2"/>
  <c r="P10" i="2"/>
  <c r="P21" i="2"/>
  <c r="P13" i="2"/>
  <c r="P23" i="2"/>
  <c r="P18" i="2"/>
  <c r="P31" i="2"/>
  <c r="P26" i="2"/>
  <c r="P20" i="2"/>
  <c r="F4" i="5"/>
  <c r="I22" i="36"/>
  <c r="F373" i="33"/>
  <c r="F399" i="33"/>
  <c r="D376" i="37"/>
  <c r="D402" i="37"/>
  <c r="H25" i="40"/>
  <c r="I20" i="36"/>
  <c r="F371" i="33"/>
  <c r="F397" i="33"/>
  <c r="Q161" i="38"/>
  <c r="Q205" i="38" s="1"/>
  <c r="H19" i="40"/>
  <c r="D396" i="37"/>
  <c r="D370" i="37"/>
  <c r="O57" i="6"/>
  <c r="O55" i="6"/>
  <c r="O47" i="6"/>
  <c r="O48" i="6"/>
  <c r="O45" i="6"/>
  <c r="O51" i="6"/>
  <c r="D17" i="5"/>
  <c r="D18" i="5"/>
  <c r="E204" i="5"/>
  <c r="B275" i="37"/>
  <c r="B278" i="37"/>
  <c r="B277" i="37"/>
  <c r="B276" i="37"/>
  <c r="B279" i="37"/>
  <c r="B280" i="37"/>
  <c r="B281" i="37"/>
  <c r="B282" i="37"/>
  <c r="B288" i="37"/>
  <c r="B283" i="37"/>
  <c r="B285" i="37"/>
  <c r="B284" i="37"/>
  <c r="B290" i="37"/>
  <c r="B291" i="37"/>
  <c r="B286" i="37"/>
  <c r="B287" i="37"/>
  <c r="B289" i="37"/>
  <c r="B295" i="37"/>
  <c r="B297" i="37"/>
  <c r="B298" i="37"/>
  <c r="B296" i="37"/>
  <c r="B292" i="37"/>
  <c r="B294" i="37"/>
  <c r="B293" i="37"/>
  <c r="B304" i="37"/>
  <c r="B303" i="37"/>
  <c r="H24" i="40"/>
  <c r="D375" i="37"/>
  <c r="D401" i="37"/>
  <c r="B301" i="37"/>
  <c r="H7" i="40"/>
  <c r="D384" i="37"/>
  <c r="D358" i="37"/>
  <c r="H4" i="40"/>
  <c r="D355" i="37"/>
  <c r="D381" i="37"/>
  <c r="V23" i="40"/>
  <c r="O23" i="40"/>
  <c r="P59" i="34"/>
  <c r="P50" i="34"/>
  <c r="P53" i="34"/>
  <c r="J47" i="37"/>
  <c r="G8" i="37"/>
  <c r="J54" i="37"/>
  <c r="G6" i="37"/>
  <c r="J48" i="37"/>
  <c r="J86" i="37"/>
  <c r="J97" i="37" s="1"/>
  <c r="J88" i="37"/>
  <c r="J89" i="37"/>
  <c r="J52" i="37"/>
  <c r="J56" i="37" s="1"/>
  <c r="J247" i="37" s="1"/>
  <c r="J53" i="37"/>
  <c r="J55" i="37"/>
  <c r="G5" i="37"/>
  <c r="I209" i="37"/>
  <c r="J50" i="37"/>
  <c r="J51" i="37"/>
  <c r="I207" i="37"/>
  <c r="J49" i="37"/>
  <c r="G25" i="37"/>
  <c r="G26" i="37" s="1"/>
  <c r="G11" i="37"/>
  <c r="G12" i="37" s="1"/>
  <c r="O52" i="38"/>
  <c r="J391" i="9"/>
  <c r="J365" i="9"/>
  <c r="J367" i="9"/>
  <c r="J393" i="9"/>
  <c r="J403" i="9"/>
  <c r="J377" i="9"/>
  <c r="F344" i="37"/>
  <c r="P168" i="38"/>
  <c r="P169" i="38"/>
  <c r="F381" i="9"/>
  <c r="F355" i="9"/>
  <c r="F401" i="9"/>
  <c r="F375" i="9"/>
  <c r="F376" i="9"/>
  <c r="F402" i="9"/>
  <c r="H399" i="9"/>
  <c r="H373" i="9"/>
  <c r="N169" i="33"/>
  <c r="Q166" i="34" s="1"/>
  <c r="E177" i="33"/>
  <c r="N165" i="33"/>
  <c r="N163" i="33"/>
  <c r="F7" i="33"/>
  <c r="N162" i="33"/>
  <c r="Q2" i="34"/>
  <c r="N167" i="33"/>
  <c r="Q164" i="34" s="1"/>
  <c r="N171" i="33"/>
  <c r="Q168" i="34" s="1"/>
  <c r="N172" i="33"/>
  <c r="N166" i="33"/>
  <c r="N168" i="33"/>
  <c r="F9" i="33"/>
  <c r="H210" i="33" s="1"/>
  <c r="N164" i="33"/>
  <c r="F27" i="33"/>
  <c r="F29" i="33" s="1"/>
  <c r="F30" i="33" s="1"/>
  <c r="N173" i="33"/>
  <c r="Q170" i="34" s="1"/>
  <c r="N170" i="33"/>
  <c r="Q167" i="34" s="1"/>
  <c r="G25" i="1"/>
  <c r="G26" i="1"/>
  <c r="G28" i="1"/>
  <c r="G5" i="1"/>
  <c r="G6" i="1"/>
  <c r="G10" i="1"/>
  <c r="G8" i="1"/>
  <c r="G157" i="1"/>
  <c r="J54" i="1"/>
  <c r="J50" i="1"/>
  <c r="I209" i="1"/>
  <c r="K55" i="1"/>
  <c r="K54" i="1"/>
  <c r="G11" i="1"/>
  <c r="J51" i="1"/>
  <c r="J49" i="1"/>
  <c r="F67" i="1"/>
  <c r="F66" i="1"/>
  <c r="G12" i="1"/>
  <c r="J48" i="1"/>
  <c r="J53" i="1"/>
  <c r="K49" i="1"/>
  <c r="K50" i="1"/>
  <c r="F64" i="1"/>
  <c r="J88" i="1"/>
  <c r="J86" i="1"/>
  <c r="J52" i="1"/>
  <c r="J56" i="1" s="1"/>
  <c r="J247" i="1" s="1"/>
  <c r="F61" i="1"/>
  <c r="F62" i="1"/>
  <c r="J47" i="1"/>
  <c r="K53" i="1"/>
  <c r="K48" i="1"/>
  <c r="K52" i="1"/>
  <c r="K56" i="1" s="1"/>
  <c r="K247" i="1" s="1"/>
  <c r="F65" i="1"/>
  <c r="F60" i="1"/>
  <c r="L36" i="2" s="1"/>
  <c r="J55" i="1"/>
  <c r="I207" i="1"/>
  <c r="I211" i="1" s="1"/>
  <c r="K51" i="1"/>
  <c r="K47" i="1"/>
  <c r="G158" i="1"/>
  <c r="G159" i="1"/>
  <c r="J89" i="1"/>
  <c r="F59" i="1"/>
  <c r="F63" i="1"/>
  <c r="E6" i="39"/>
  <c r="E9" i="39"/>
  <c r="E10" i="39" s="1"/>
  <c r="P43" i="34"/>
  <c r="F365" i="9"/>
  <c r="F391" i="9"/>
  <c r="H374" i="9"/>
  <c r="H400" i="9"/>
  <c r="H376" i="9"/>
  <c r="H402" i="9"/>
  <c r="H15" i="40"/>
  <c r="D392" i="37"/>
  <c r="D366" i="37"/>
  <c r="O40" i="38"/>
  <c r="I208" i="33"/>
  <c r="I206" i="33"/>
  <c r="R6" i="34"/>
  <c r="G17" i="33"/>
  <c r="G18" i="33"/>
  <c r="H180" i="33"/>
  <c r="B181" i="33"/>
  <c r="H6" i="40"/>
  <c r="D383" i="37"/>
  <c r="D357" i="37"/>
  <c r="H212" i="9"/>
  <c r="N61" i="38"/>
  <c r="D373" i="37"/>
  <c r="H22" i="40"/>
  <c r="D399" i="37"/>
  <c r="N59" i="44"/>
  <c r="N60" i="44" s="1"/>
  <c r="N135" i="44" s="1"/>
  <c r="F14" i="1"/>
  <c r="H205" i="1" s="1"/>
  <c r="N59" i="6"/>
  <c r="N60" i="6" s="1"/>
  <c r="P48" i="34"/>
  <c r="P45" i="34"/>
  <c r="P41" i="34"/>
  <c r="D275" i="33"/>
  <c r="D276" i="33"/>
  <c r="D277" i="33"/>
  <c r="D301" i="33"/>
  <c r="O58" i="38"/>
  <c r="J381" i="9"/>
  <c r="J355" i="9"/>
  <c r="J400" i="9"/>
  <c r="J374" i="9"/>
  <c r="J380" i="9"/>
  <c r="J354" i="9"/>
  <c r="J397" i="9"/>
  <c r="J371" i="9"/>
  <c r="I204" i="9"/>
  <c r="F70" i="9"/>
  <c r="F69" i="9"/>
  <c r="F374" i="9"/>
  <c r="F400" i="9"/>
  <c r="F396" i="9"/>
  <c r="F370" i="9"/>
  <c r="F386" i="9"/>
  <c r="F360" i="9"/>
  <c r="O32" i="6" l="1"/>
  <c r="O59" i="44"/>
  <c r="O44" i="6"/>
  <c r="G17" i="5"/>
  <c r="R6" i="6"/>
  <c r="I208" i="5"/>
  <c r="O32" i="44"/>
  <c r="D17" i="1"/>
  <c r="D18" i="1"/>
  <c r="C30" i="1"/>
  <c r="K170" i="1"/>
  <c r="N165" i="2" s="1"/>
  <c r="K162" i="1"/>
  <c r="N157" i="2" s="1"/>
  <c r="K164" i="1"/>
  <c r="N159" i="2" s="1"/>
  <c r="K173" i="1"/>
  <c r="N168" i="2" s="1"/>
  <c r="K163" i="1"/>
  <c r="N158" i="2" s="1"/>
  <c r="K165" i="1"/>
  <c r="N160" i="2" s="1"/>
  <c r="K172" i="1"/>
  <c r="N167" i="2" s="1"/>
  <c r="O13" i="2"/>
  <c r="O41" i="2" s="1"/>
  <c r="O29" i="2"/>
  <c r="O57" i="2" s="1"/>
  <c r="F7" i="1"/>
  <c r="K167" i="1"/>
  <c r="N162" i="2" s="1"/>
  <c r="K166" i="1"/>
  <c r="N161" i="2" s="1"/>
  <c r="K171" i="1"/>
  <c r="N166" i="2" s="1"/>
  <c r="O19" i="2"/>
  <c r="O47" i="2" s="1"/>
  <c r="O16" i="2"/>
  <c r="O44" i="2" s="1"/>
  <c r="N36" i="2"/>
  <c r="N60" i="2" s="1"/>
  <c r="N61" i="2" s="1"/>
  <c r="K169" i="1"/>
  <c r="K168" i="1"/>
  <c r="N163" i="2" s="1"/>
  <c r="O9" i="2"/>
  <c r="O37" i="2" s="1"/>
  <c r="O24" i="2"/>
  <c r="O52" i="2" s="1"/>
  <c r="O10" i="2"/>
  <c r="O38" i="2" s="1"/>
  <c r="C56" i="1"/>
  <c r="B64" i="1"/>
  <c r="O31" i="2"/>
  <c r="O59" i="2" s="1"/>
  <c r="O25" i="2"/>
  <c r="O53" i="2" s="1"/>
  <c r="O28" i="2"/>
  <c r="O56" i="2" s="1"/>
  <c r="O27" i="2"/>
  <c r="O55" i="2" s="1"/>
  <c r="O14" i="2"/>
  <c r="O42" i="2" s="1"/>
  <c r="O23" i="2"/>
  <c r="O51" i="2" s="1"/>
  <c r="O26" i="2"/>
  <c r="O54" i="2" s="1"/>
  <c r="Q160" i="2"/>
  <c r="Q157" i="2"/>
  <c r="O22" i="2"/>
  <c r="O50" i="2" s="1"/>
  <c r="O30" i="2"/>
  <c r="O58" i="2" s="1"/>
  <c r="E8" i="35"/>
  <c r="E11" i="35" s="1"/>
  <c r="D331" i="1"/>
  <c r="D348" i="1"/>
  <c r="D341" i="1"/>
  <c r="D342" i="1"/>
  <c r="D338" i="1"/>
  <c r="D339" i="1"/>
  <c r="D351" i="1"/>
  <c r="D345" i="1"/>
  <c r="O2" i="2"/>
  <c r="D7" i="1"/>
  <c r="D334" i="1"/>
  <c r="D336" i="1"/>
  <c r="D340" i="1"/>
  <c r="D344" i="1"/>
  <c r="D328" i="1"/>
  <c r="D330" i="1"/>
  <c r="D335" i="1"/>
  <c r="D9" i="1"/>
  <c r="D349" i="1"/>
  <c r="D343" i="1"/>
  <c r="D350" i="1"/>
  <c r="D337" i="1"/>
  <c r="D347" i="1"/>
  <c r="D329" i="1"/>
  <c r="D27" i="1"/>
  <c r="D346" i="1"/>
  <c r="C177" i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D333" i="1"/>
  <c r="D332" i="1"/>
  <c r="E211" i="1"/>
  <c r="E213" i="1"/>
  <c r="C14" i="1"/>
  <c r="E205" i="1" s="1"/>
  <c r="E204" i="1"/>
  <c r="G14" i="1"/>
  <c r="I205" i="1" s="1"/>
  <c r="Q165" i="2"/>
  <c r="Q163" i="2"/>
  <c r="P167" i="2"/>
  <c r="P161" i="2"/>
  <c r="Q166" i="2"/>
  <c r="Q168" i="2"/>
  <c r="Q162" i="2"/>
  <c r="Q164" i="2"/>
  <c r="Q158" i="2"/>
  <c r="F68" i="1"/>
  <c r="O60" i="38"/>
  <c r="O61" i="38" s="1"/>
  <c r="N137" i="44"/>
  <c r="N138" i="44" s="1"/>
  <c r="N125" i="2" s="1"/>
  <c r="C157" i="5"/>
  <c r="H157" i="5" s="1"/>
  <c r="N135" i="6"/>
  <c r="P38" i="2"/>
  <c r="F303" i="1"/>
  <c r="F362" i="1"/>
  <c r="F388" i="1"/>
  <c r="Q53" i="2"/>
  <c r="H318" i="1"/>
  <c r="H399" i="1"/>
  <c r="H373" i="1"/>
  <c r="H7" i="39"/>
  <c r="I5" i="39"/>
  <c r="H8" i="39"/>
  <c r="H5" i="39"/>
  <c r="H6" i="39"/>
  <c r="H99" i="37"/>
  <c r="P38" i="38"/>
  <c r="O22" i="40"/>
  <c r="V22" i="40"/>
  <c r="V6" i="40"/>
  <c r="O6" i="40"/>
  <c r="Q163" i="34"/>
  <c r="Q162" i="34"/>
  <c r="I19" i="40"/>
  <c r="F396" i="37"/>
  <c r="F370" i="37"/>
  <c r="V4" i="40"/>
  <c r="O4" i="40"/>
  <c r="P51" i="2"/>
  <c r="F316" i="1"/>
  <c r="P52" i="2"/>
  <c r="F317" i="1"/>
  <c r="P53" i="2"/>
  <c r="F318" i="1"/>
  <c r="F391" i="1"/>
  <c r="F365" i="1"/>
  <c r="F354" i="1"/>
  <c r="F380" i="1"/>
  <c r="P160" i="2"/>
  <c r="P158" i="2"/>
  <c r="J178" i="37"/>
  <c r="G219" i="37" s="1"/>
  <c r="G249" i="37" s="1"/>
  <c r="D179" i="37"/>
  <c r="P60" i="34"/>
  <c r="P61" i="34" s="1"/>
  <c r="Q41" i="2"/>
  <c r="H306" i="1"/>
  <c r="Q59" i="2"/>
  <c r="H324" i="1"/>
  <c r="Q50" i="2"/>
  <c r="H315" i="1"/>
  <c r="H381" i="1"/>
  <c r="H355" i="1"/>
  <c r="I88" i="1"/>
  <c r="I89" i="1"/>
  <c r="I86" i="1"/>
  <c r="H382" i="1"/>
  <c r="H356" i="1"/>
  <c r="J34" i="2"/>
  <c r="F13" i="1"/>
  <c r="J18" i="40"/>
  <c r="H395" i="37"/>
  <c r="H369" i="37"/>
  <c r="C247" i="5"/>
  <c r="B68" i="5"/>
  <c r="W12" i="36"/>
  <c r="P12" i="36"/>
  <c r="E14" i="37"/>
  <c r="G205" i="37" s="1"/>
  <c r="G211" i="37"/>
  <c r="F345" i="37"/>
  <c r="F347" i="37"/>
  <c r="F348" i="37"/>
  <c r="F331" i="37"/>
  <c r="G213" i="37"/>
  <c r="F346" i="37"/>
  <c r="F349" i="37"/>
  <c r="F334" i="37"/>
  <c r="F342" i="37"/>
  <c r="F343" i="37"/>
  <c r="F338" i="37"/>
  <c r="F328" i="37"/>
  <c r="F335" i="37"/>
  <c r="F336" i="37"/>
  <c r="F340" i="37"/>
  <c r="F337" i="37"/>
  <c r="F339" i="37"/>
  <c r="F330" i="37"/>
  <c r="F351" i="37"/>
  <c r="F329" i="37"/>
  <c r="F350" i="37"/>
  <c r="F333" i="37"/>
  <c r="F332" i="37"/>
  <c r="F341" i="37"/>
  <c r="P11" i="38"/>
  <c r="P30" i="38"/>
  <c r="P23" i="38"/>
  <c r="O17" i="40"/>
  <c r="V17" i="40"/>
  <c r="D355" i="5"/>
  <c r="D381" i="5"/>
  <c r="D370" i="5"/>
  <c r="D396" i="5"/>
  <c r="D376" i="5"/>
  <c r="D402" i="5"/>
  <c r="F14" i="37"/>
  <c r="H205" i="37" s="1"/>
  <c r="H344" i="37"/>
  <c r="H330" i="37"/>
  <c r="H351" i="37"/>
  <c r="H211" i="37"/>
  <c r="H339" i="37"/>
  <c r="H213" i="37"/>
  <c r="H333" i="37"/>
  <c r="H350" i="37"/>
  <c r="H336" i="37"/>
  <c r="H345" i="37"/>
  <c r="H346" i="37"/>
  <c r="H332" i="37"/>
  <c r="H329" i="37"/>
  <c r="H341" i="37"/>
  <c r="H334" i="37"/>
  <c r="H349" i="37"/>
  <c r="H337" i="37"/>
  <c r="H348" i="37"/>
  <c r="H340" i="37"/>
  <c r="H331" i="37"/>
  <c r="H328" i="37"/>
  <c r="H342" i="37"/>
  <c r="H347" i="37"/>
  <c r="H335" i="37"/>
  <c r="Q13" i="38"/>
  <c r="Q29" i="38"/>
  <c r="Q18" i="38"/>
  <c r="P21" i="36"/>
  <c r="W21" i="36"/>
  <c r="V3" i="40"/>
  <c r="O3" i="40"/>
  <c r="N207" i="38"/>
  <c r="C157" i="37"/>
  <c r="F366" i="1"/>
  <c r="F392" i="1"/>
  <c r="Q57" i="2"/>
  <c r="H322" i="1"/>
  <c r="H365" i="1"/>
  <c r="H391" i="1"/>
  <c r="P54" i="38"/>
  <c r="D278" i="33"/>
  <c r="Q169" i="34"/>
  <c r="K177" i="33"/>
  <c r="I218" i="33" s="1"/>
  <c r="I248" i="33" s="1"/>
  <c r="E178" i="33"/>
  <c r="P20" i="36"/>
  <c r="W20" i="36"/>
  <c r="P22" i="36"/>
  <c r="W22" i="36"/>
  <c r="P41" i="2"/>
  <c r="F306" i="1"/>
  <c r="P56" i="2"/>
  <c r="F321" i="1"/>
  <c r="P42" i="2"/>
  <c r="F307" i="1"/>
  <c r="F381" i="1"/>
  <c r="F355" i="1"/>
  <c r="F375" i="1"/>
  <c r="F401" i="1"/>
  <c r="F386" i="1"/>
  <c r="F360" i="1"/>
  <c r="P168" i="2"/>
  <c r="P157" i="2"/>
  <c r="Q38" i="2"/>
  <c r="H303" i="1"/>
  <c r="Q56" i="2"/>
  <c r="H321" i="1"/>
  <c r="Q40" i="2"/>
  <c r="H305" i="1"/>
  <c r="H369" i="1"/>
  <c r="H395" i="1"/>
  <c r="H389" i="1"/>
  <c r="H363" i="1"/>
  <c r="G6" i="35"/>
  <c r="G10" i="35"/>
  <c r="G9" i="35"/>
  <c r="W23" i="36"/>
  <c r="P23" i="36"/>
  <c r="O12" i="40"/>
  <c r="V12" i="40"/>
  <c r="I56" i="37"/>
  <c r="E64" i="37"/>
  <c r="P205" i="34"/>
  <c r="P158" i="34"/>
  <c r="H212" i="1"/>
  <c r="O16" i="40"/>
  <c r="V16" i="40"/>
  <c r="D180" i="33"/>
  <c r="J179" i="33"/>
  <c r="G220" i="33" s="1"/>
  <c r="G250" i="33" s="1"/>
  <c r="W7" i="36"/>
  <c r="P7" i="36"/>
  <c r="P24" i="36"/>
  <c r="W24" i="36"/>
  <c r="P43" i="38"/>
  <c r="P41" i="38"/>
  <c r="P59" i="38"/>
  <c r="G213" i="5"/>
  <c r="G211" i="5"/>
  <c r="D366" i="5"/>
  <c r="D392" i="5"/>
  <c r="D386" i="5"/>
  <c r="D360" i="5"/>
  <c r="D398" i="5"/>
  <c r="D372" i="5"/>
  <c r="D13" i="5"/>
  <c r="F212" i="5"/>
  <c r="F210" i="5"/>
  <c r="D10" i="5"/>
  <c r="Q36" i="38"/>
  <c r="Q56" i="38"/>
  <c r="Q42" i="38"/>
  <c r="Q37" i="38"/>
  <c r="O15" i="40"/>
  <c r="V15" i="40"/>
  <c r="O167" i="37"/>
  <c r="O164" i="37"/>
  <c r="O163" i="37"/>
  <c r="G9" i="37"/>
  <c r="O173" i="37"/>
  <c r="O170" i="37"/>
  <c r="O169" i="37"/>
  <c r="O166" i="37"/>
  <c r="O165" i="37"/>
  <c r="O162" i="37"/>
  <c r="R2" i="38"/>
  <c r="G27" i="37"/>
  <c r="G29" i="37" s="1"/>
  <c r="G30" i="37" s="1"/>
  <c r="G7" i="37"/>
  <c r="F177" i="37"/>
  <c r="O172" i="37"/>
  <c r="O171" i="37"/>
  <c r="O168" i="37"/>
  <c r="G17" i="37"/>
  <c r="G18" i="37"/>
  <c r="P49" i="2"/>
  <c r="F314" i="1"/>
  <c r="P47" i="2"/>
  <c r="F312" i="1"/>
  <c r="P45" i="2"/>
  <c r="F310" i="1"/>
  <c r="F382" i="1"/>
  <c r="F356" i="1"/>
  <c r="F376" i="1"/>
  <c r="F402" i="1"/>
  <c r="F400" i="1"/>
  <c r="F374" i="1"/>
  <c r="P165" i="2"/>
  <c r="Q44" i="2"/>
  <c r="H309" i="1"/>
  <c r="Q39" i="2"/>
  <c r="H304" i="1"/>
  <c r="Q37" i="2"/>
  <c r="H302" i="1"/>
  <c r="H383" i="1"/>
  <c r="H357" i="1"/>
  <c r="H359" i="1"/>
  <c r="H385" i="1"/>
  <c r="H396" i="1"/>
  <c r="H370" i="1"/>
  <c r="O59" i="6"/>
  <c r="O60" i="6" s="1"/>
  <c r="H212" i="33"/>
  <c r="P16" i="36"/>
  <c r="W16" i="36"/>
  <c r="D276" i="37"/>
  <c r="D275" i="37"/>
  <c r="D277" i="37"/>
  <c r="D301" i="37"/>
  <c r="W19" i="36"/>
  <c r="P19" i="36"/>
  <c r="P56" i="38"/>
  <c r="P42" i="38"/>
  <c r="P50" i="38"/>
  <c r="D401" i="5"/>
  <c r="D375" i="5"/>
  <c r="D368" i="5"/>
  <c r="D394" i="5"/>
  <c r="D387" i="5"/>
  <c r="D361" i="5"/>
  <c r="E89" i="5"/>
  <c r="E86" i="5"/>
  <c r="E88" i="5"/>
  <c r="E54" i="5"/>
  <c r="C66" i="5" s="1"/>
  <c r="E55" i="5"/>
  <c r="C67" i="5" s="1"/>
  <c r="E47" i="5"/>
  <c r="C59" i="5" s="1"/>
  <c r="E51" i="5"/>
  <c r="C63" i="5" s="1"/>
  <c r="E53" i="5"/>
  <c r="C65" i="5" s="1"/>
  <c r="E50" i="5"/>
  <c r="C62" i="5" s="1"/>
  <c r="E49" i="5"/>
  <c r="C61" i="5" s="1"/>
  <c r="E52" i="5"/>
  <c r="E48" i="5"/>
  <c r="C60" i="5" s="1"/>
  <c r="Q43" i="38"/>
  <c r="Q38" i="38"/>
  <c r="Q50" i="38"/>
  <c r="E70" i="37"/>
  <c r="E69" i="37"/>
  <c r="H204" i="37"/>
  <c r="F10" i="33"/>
  <c r="O7" i="40"/>
  <c r="V7" i="40"/>
  <c r="P57" i="2"/>
  <c r="F322" i="1"/>
  <c r="F395" i="1"/>
  <c r="F369" i="1"/>
  <c r="Q54" i="2"/>
  <c r="H319" i="1"/>
  <c r="F277" i="5"/>
  <c r="F275" i="5"/>
  <c r="F276" i="5"/>
  <c r="F278" i="5"/>
  <c r="F282" i="5"/>
  <c r="F279" i="5"/>
  <c r="F280" i="5"/>
  <c r="F286" i="5"/>
  <c r="F288" i="5"/>
  <c r="F281" i="5"/>
  <c r="F283" i="5"/>
  <c r="F285" i="5"/>
  <c r="F284" i="5"/>
  <c r="F289" i="5"/>
  <c r="F294" i="5"/>
  <c r="F287" i="5"/>
  <c r="F295" i="5"/>
  <c r="F291" i="5"/>
  <c r="F292" i="5"/>
  <c r="F296" i="5"/>
  <c r="F290" i="5"/>
  <c r="F298" i="5"/>
  <c r="F293" i="5"/>
  <c r="F297" i="5"/>
  <c r="W15" i="36"/>
  <c r="P15" i="36"/>
  <c r="I209" i="33"/>
  <c r="O25" i="40"/>
  <c r="V25" i="40"/>
  <c r="F5" i="5"/>
  <c r="F157" i="5"/>
  <c r="F26" i="5"/>
  <c r="F28" i="5"/>
  <c r="F8" i="5"/>
  <c r="H49" i="5"/>
  <c r="H89" i="5"/>
  <c r="F6" i="5"/>
  <c r="H47" i="5"/>
  <c r="H54" i="5"/>
  <c r="H88" i="5"/>
  <c r="F11" i="5"/>
  <c r="H207" i="5"/>
  <c r="H52" i="5"/>
  <c r="H56" i="5" s="1"/>
  <c r="H247" i="5" s="1"/>
  <c r="H86" i="5"/>
  <c r="F12" i="5"/>
  <c r="H55" i="5"/>
  <c r="H50" i="5"/>
  <c r="H53" i="5"/>
  <c r="H48" i="5"/>
  <c r="H51" i="5"/>
  <c r="H209" i="5"/>
  <c r="F10" i="5"/>
  <c r="I53" i="5"/>
  <c r="E66" i="5"/>
  <c r="E65" i="5"/>
  <c r="I49" i="5"/>
  <c r="I55" i="5"/>
  <c r="I51" i="5"/>
  <c r="E61" i="5"/>
  <c r="E67" i="5"/>
  <c r="E63" i="5"/>
  <c r="I50" i="5"/>
  <c r="I48" i="5"/>
  <c r="E62" i="5"/>
  <c r="I47" i="5"/>
  <c r="E60" i="5"/>
  <c r="I52" i="5"/>
  <c r="I56" i="5" s="1"/>
  <c r="I247" i="5" s="1"/>
  <c r="E59" i="5"/>
  <c r="I54" i="5"/>
  <c r="E64" i="5"/>
  <c r="F159" i="5"/>
  <c r="F158" i="5"/>
  <c r="P48" i="2"/>
  <c r="F313" i="1"/>
  <c r="P43" i="2"/>
  <c r="F308" i="1"/>
  <c r="P58" i="2"/>
  <c r="F323" i="1"/>
  <c r="F363" i="1"/>
  <c r="F389" i="1"/>
  <c r="G86" i="1"/>
  <c r="G89" i="1"/>
  <c r="G88" i="1"/>
  <c r="F398" i="1"/>
  <c r="F372" i="1"/>
  <c r="P163" i="2"/>
  <c r="H34" i="2"/>
  <c r="E13" i="1"/>
  <c r="Q49" i="2"/>
  <c r="H314" i="1"/>
  <c r="Q58" i="2"/>
  <c r="H323" i="1"/>
  <c r="Q51" i="2"/>
  <c r="H316" i="1"/>
  <c r="H364" i="1"/>
  <c r="H390" i="1"/>
  <c r="H380" i="1"/>
  <c r="H354" i="1"/>
  <c r="H376" i="1"/>
  <c r="H402" i="1"/>
  <c r="H400" i="1"/>
  <c r="H374" i="1"/>
  <c r="C182" i="33"/>
  <c r="I181" i="33"/>
  <c r="E222" i="33" s="1"/>
  <c r="E252" i="33" s="1"/>
  <c r="O11" i="40"/>
  <c r="V11" i="40"/>
  <c r="P36" i="38"/>
  <c r="P16" i="38"/>
  <c r="P9" i="38"/>
  <c r="P20" i="38"/>
  <c r="O26" i="40"/>
  <c r="V26" i="40"/>
  <c r="O10" i="40"/>
  <c r="V10" i="40"/>
  <c r="D390" i="5"/>
  <c r="D364" i="5"/>
  <c r="D369" i="5"/>
  <c r="D395" i="5"/>
  <c r="D359" i="5"/>
  <c r="D385" i="5"/>
  <c r="Q21" i="38"/>
  <c r="J34" i="38"/>
  <c r="Q31" i="38"/>
  <c r="V19" i="40"/>
  <c r="O19" i="40"/>
  <c r="H398" i="1"/>
  <c r="H372" i="1"/>
  <c r="P57" i="38"/>
  <c r="D358" i="5"/>
  <c r="D384" i="5"/>
  <c r="Q39" i="38"/>
  <c r="H341" i="33"/>
  <c r="H331" i="33"/>
  <c r="H351" i="33"/>
  <c r="Q161" i="34"/>
  <c r="Q159" i="34"/>
  <c r="G28" i="37"/>
  <c r="Q158" i="38"/>
  <c r="P54" i="2"/>
  <c r="F319" i="1"/>
  <c r="P37" i="2"/>
  <c r="F302" i="1"/>
  <c r="P39" i="2"/>
  <c r="F304" i="1"/>
  <c r="F358" i="1"/>
  <c r="F384" i="1"/>
  <c r="F373" i="1"/>
  <c r="F399" i="1"/>
  <c r="F393" i="1"/>
  <c r="F367" i="1"/>
  <c r="F387" i="1"/>
  <c r="F361" i="1"/>
  <c r="P159" i="2"/>
  <c r="G56" i="37"/>
  <c r="D64" i="37"/>
  <c r="P10" i="36"/>
  <c r="W10" i="36"/>
  <c r="Q46" i="2"/>
  <c r="H311" i="1"/>
  <c r="Q55" i="2"/>
  <c r="H320" i="1"/>
  <c r="Q48" i="2"/>
  <c r="H313" i="1"/>
  <c r="H368" i="1"/>
  <c r="H394" i="1"/>
  <c r="H403" i="1"/>
  <c r="H377" i="1"/>
  <c r="H401" i="1"/>
  <c r="H375" i="1"/>
  <c r="Q167" i="2"/>
  <c r="G212" i="1"/>
  <c r="O60" i="44"/>
  <c r="O135" i="44" s="1"/>
  <c r="P24" i="38"/>
  <c r="P18" i="38"/>
  <c r="P21" i="38"/>
  <c r="P158" i="38"/>
  <c r="P205" i="38"/>
  <c r="D68" i="5"/>
  <c r="P2" i="44"/>
  <c r="E27" i="5"/>
  <c r="E29" i="5" s="1"/>
  <c r="E30" i="5" s="1"/>
  <c r="M164" i="5"/>
  <c r="M168" i="5"/>
  <c r="M172" i="5"/>
  <c r="M165" i="5"/>
  <c r="M169" i="5"/>
  <c r="M173" i="5"/>
  <c r="M166" i="5"/>
  <c r="M170" i="5"/>
  <c r="M171" i="5"/>
  <c r="M167" i="5"/>
  <c r="M163" i="5"/>
  <c r="M162" i="5"/>
  <c r="F345" i="5"/>
  <c r="F329" i="5"/>
  <c r="F346" i="5"/>
  <c r="F333" i="5"/>
  <c r="F343" i="5"/>
  <c r="F347" i="5"/>
  <c r="F341" i="5"/>
  <c r="F328" i="5"/>
  <c r="F332" i="5"/>
  <c r="F338" i="5"/>
  <c r="F349" i="5"/>
  <c r="F336" i="5"/>
  <c r="F340" i="5"/>
  <c r="P2" i="6"/>
  <c r="F330" i="5"/>
  <c r="F334" i="5"/>
  <c r="F344" i="5"/>
  <c r="F348" i="5"/>
  <c r="D177" i="5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F342" i="5"/>
  <c r="E9" i="5"/>
  <c r="E13" i="5" s="1"/>
  <c r="E7" i="5"/>
  <c r="F350" i="5"/>
  <c r="F337" i="5"/>
  <c r="F351" i="5"/>
  <c r="F331" i="5"/>
  <c r="F335" i="5"/>
  <c r="F339" i="5"/>
  <c r="P31" i="6"/>
  <c r="P16" i="6"/>
  <c r="P10" i="6"/>
  <c r="P20" i="44"/>
  <c r="P15" i="44"/>
  <c r="P24" i="6"/>
  <c r="P18" i="6"/>
  <c r="P11" i="6"/>
  <c r="P28" i="6"/>
  <c r="P12" i="6"/>
  <c r="P11" i="44"/>
  <c r="P23" i="44"/>
  <c r="P13" i="6"/>
  <c r="P26" i="6"/>
  <c r="P19" i="6"/>
  <c r="P20" i="6"/>
  <c r="P30" i="44"/>
  <c r="P9" i="44"/>
  <c r="P26" i="44"/>
  <c r="P15" i="6"/>
  <c r="P25" i="6"/>
  <c r="P21" i="6"/>
  <c r="P14" i="6"/>
  <c r="P27" i="6"/>
  <c r="P17" i="44"/>
  <c r="P28" i="44"/>
  <c r="P22" i="44"/>
  <c r="P12" i="44"/>
  <c r="P25" i="44"/>
  <c r="P21" i="44"/>
  <c r="P29" i="6"/>
  <c r="P22" i="6"/>
  <c r="P8" i="44"/>
  <c r="P29" i="44"/>
  <c r="P19" i="44"/>
  <c r="P14" i="44"/>
  <c r="P13" i="44"/>
  <c r="P30" i="6"/>
  <c r="P17" i="6"/>
  <c r="P31" i="44"/>
  <c r="P24" i="44"/>
  <c r="P23" i="6"/>
  <c r="P8" i="6"/>
  <c r="P9" i="6"/>
  <c r="P16" i="44"/>
  <c r="P27" i="44"/>
  <c r="P10" i="44"/>
  <c r="P18" i="44"/>
  <c r="G247" i="33"/>
  <c r="D68" i="33"/>
  <c r="D354" i="5"/>
  <c r="D380" i="5"/>
  <c r="D389" i="5"/>
  <c r="D363" i="5"/>
  <c r="D400" i="5"/>
  <c r="D374" i="5"/>
  <c r="C181" i="37"/>
  <c r="I180" i="37"/>
  <c r="E221" i="37" s="1"/>
  <c r="E251" i="37" s="1"/>
  <c r="D304" i="37" s="1"/>
  <c r="Q16" i="38"/>
  <c r="Q20" i="38"/>
  <c r="Q24" i="38"/>
  <c r="O14" i="40"/>
  <c r="V14" i="40"/>
  <c r="N208" i="34"/>
  <c r="P44" i="2"/>
  <c r="F309" i="1"/>
  <c r="H392" i="1"/>
  <c r="H366" i="1"/>
  <c r="P14" i="36"/>
  <c r="W14" i="36"/>
  <c r="O20" i="40"/>
  <c r="V20" i="40"/>
  <c r="D397" i="5"/>
  <c r="D371" i="5"/>
  <c r="Q51" i="38"/>
  <c r="O164" i="1"/>
  <c r="O168" i="1"/>
  <c r="O172" i="1"/>
  <c r="G27" i="1"/>
  <c r="G29" i="1" s="1"/>
  <c r="G30" i="1" s="1"/>
  <c r="O165" i="1"/>
  <c r="O169" i="1"/>
  <c r="R164" i="2" s="1"/>
  <c r="O173" i="1"/>
  <c r="O166" i="1"/>
  <c r="O170" i="1"/>
  <c r="G9" i="1"/>
  <c r="O163" i="1"/>
  <c r="O167" i="1"/>
  <c r="R162" i="2" s="1"/>
  <c r="O171" i="1"/>
  <c r="O162" i="1"/>
  <c r="R157" i="2" s="1"/>
  <c r="J347" i="1"/>
  <c r="J351" i="1"/>
  <c r="J346" i="1"/>
  <c r="G7" i="1"/>
  <c r="R2" i="2"/>
  <c r="J330" i="1"/>
  <c r="J341" i="1"/>
  <c r="J331" i="1"/>
  <c r="J336" i="1"/>
  <c r="J344" i="1"/>
  <c r="J348" i="1"/>
  <c r="J339" i="1"/>
  <c r="J276" i="1"/>
  <c r="J302" i="1" s="1"/>
  <c r="J275" i="1"/>
  <c r="J301" i="1" s="1"/>
  <c r="J277" i="1"/>
  <c r="J303" i="1" s="1"/>
  <c r="J333" i="1"/>
  <c r="J343" i="1"/>
  <c r="J345" i="1"/>
  <c r="J329" i="1"/>
  <c r="J328" i="1"/>
  <c r="J332" i="1"/>
  <c r="J350" i="1"/>
  <c r="J349" i="1"/>
  <c r="J278" i="1"/>
  <c r="J304" i="1" s="1"/>
  <c r="J335" i="1"/>
  <c r="J338" i="1"/>
  <c r="J342" i="1"/>
  <c r="J282" i="1"/>
  <c r="J308" i="1" s="1"/>
  <c r="J289" i="1"/>
  <c r="J315" i="1" s="1"/>
  <c r="J297" i="1"/>
  <c r="J323" i="1" s="1"/>
  <c r="J287" i="1"/>
  <c r="J313" i="1" s="1"/>
  <c r="J295" i="1"/>
  <c r="J321" i="1" s="1"/>
  <c r="J292" i="1"/>
  <c r="J318" i="1" s="1"/>
  <c r="J281" i="1"/>
  <c r="J307" i="1" s="1"/>
  <c r="J285" i="1"/>
  <c r="J311" i="1" s="1"/>
  <c r="J294" i="1"/>
  <c r="J320" i="1" s="1"/>
  <c r="J334" i="1"/>
  <c r="J279" i="1"/>
  <c r="J305" i="1" s="1"/>
  <c r="J284" i="1"/>
  <c r="J310" i="1" s="1"/>
  <c r="J288" i="1"/>
  <c r="J314" i="1" s="1"/>
  <c r="J291" i="1"/>
  <c r="J317" i="1" s="1"/>
  <c r="J286" i="1"/>
  <c r="J312" i="1" s="1"/>
  <c r="J293" i="1"/>
  <c r="J319" i="1" s="1"/>
  <c r="J280" i="1"/>
  <c r="J306" i="1" s="1"/>
  <c r="J337" i="1"/>
  <c r="F177" i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J340" i="1"/>
  <c r="J283" i="1"/>
  <c r="J309" i="1" s="1"/>
  <c r="J290" i="1"/>
  <c r="J316" i="1" s="1"/>
  <c r="J296" i="1"/>
  <c r="J322" i="1" s="1"/>
  <c r="J298" i="1"/>
  <c r="J324" i="1" s="1"/>
  <c r="R18" i="2"/>
  <c r="R46" i="2" s="1"/>
  <c r="R12" i="2"/>
  <c r="R40" i="2" s="1"/>
  <c r="R15" i="2"/>
  <c r="R43" i="2" s="1"/>
  <c r="R26" i="2"/>
  <c r="R54" i="2" s="1"/>
  <c r="R20" i="2"/>
  <c r="R48" i="2" s="1"/>
  <c r="R23" i="2"/>
  <c r="R51" i="2" s="1"/>
  <c r="R24" i="2"/>
  <c r="R52" i="2" s="1"/>
  <c r="R28" i="2"/>
  <c r="R56" i="2" s="1"/>
  <c r="R31" i="2"/>
  <c r="R59" i="2" s="1"/>
  <c r="R11" i="2"/>
  <c r="R39" i="2" s="1"/>
  <c r="R14" i="2"/>
  <c r="R42" i="2" s="1"/>
  <c r="R8" i="2"/>
  <c r="S8" i="2" s="1"/>
  <c r="R9" i="2"/>
  <c r="R37" i="2" s="1"/>
  <c r="R19" i="2"/>
  <c r="R47" i="2" s="1"/>
  <c r="R22" i="2"/>
  <c r="R50" i="2" s="1"/>
  <c r="R10" i="2"/>
  <c r="R38" i="2" s="1"/>
  <c r="R17" i="2"/>
  <c r="R45" i="2" s="1"/>
  <c r="R27" i="2"/>
  <c r="R55" i="2" s="1"/>
  <c r="R13" i="2"/>
  <c r="R41" i="2" s="1"/>
  <c r="R30" i="2"/>
  <c r="R58" i="2" s="1"/>
  <c r="R29" i="2"/>
  <c r="R57" i="2" s="1"/>
  <c r="R25" i="2"/>
  <c r="R53" i="2" s="1"/>
  <c r="R21" i="2"/>
  <c r="R49" i="2" s="1"/>
  <c r="R16" i="2"/>
  <c r="R44" i="2" s="1"/>
  <c r="Q31" i="34"/>
  <c r="Q21" i="34"/>
  <c r="Q20" i="34"/>
  <c r="Q18" i="34"/>
  <c r="Q11" i="34"/>
  <c r="Q29" i="34"/>
  <c r="J34" i="34"/>
  <c r="Q9" i="34"/>
  <c r="Q15" i="34"/>
  <c r="Q19" i="34"/>
  <c r="Q14" i="34"/>
  <c r="F13" i="33"/>
  <c r="Q16" i="34"/>
  <c r="Q28" i="34"/>
  <c r="Q17" i="34"/>
  <c r="Q12" i="34"/>
  <c r="Q22" i="34"/>
  <c r="Q30" i="34"/>
  <c r="Q25" i="34"/>
  <c r="Q24" i="34"/>
  <c r="Q8" i="34"/>
  <c r="Q10" i="34"/>
  <c r="Q26" i="34"/>
  <c r="Q27" i="34"/>
  <c r="Q23" i="34"/>
  <c r="Q13" i="34"/>
  <c r="I88" i="33"/>
  <c r="I86" i="33"/>
  <c r="I97" i="33" s="1"/>
  <c r="I89" i="33"/>
  <c r="I50" i="33"/>
  <c r="E62" i="33" s="1"/>
  <c r="I53" i="33"/>
  <c r="E65" i="33" s="1"/>
  <c r="I47" i="33"/>
  <c r="E59" i="33" s="1"/>
  <c r="I51" i="33"/>
  <c r="E63" i="33" s="1"/>
  <c r="I52" i="33"/>
  <c r="I54" i="33"/>
  <c r="E66" i="33" s="1"/>
  <c r="I49" i="33"/>
  <c r="E61" i="33" s="1"/>
  <c r="I55" i="33"/>
  <c r="E67" i="33" s="1"/>
  <c r="I48" i="33"/>
  <c r="E60" i="33" s="1"/>
  <c r="P59" i="2"/>
  <c r="F324" i="1"/>
  <c r="P40" i="2"/>
  <c r="F305" i="1"/>
  <c r="P32" i="2"/>
  <c r="P36" i="2"/>
  <c r="F301" i="1"/>
  <c r="F371" i="1"/>
  <c r="F397" i="1"/>
  <c r="F385" i="1"/>
  <c r="F359" i="1"/>
  <c r="F390" i="1"/>
  <c r="F364" i="1"/>
  <c r="F394" i="1"/>
  <c r="F368" i="1"/>
  <c r="P166" i="2"/>
  <c r="F5" i="39"/>
  <c r="G5" i="39"/>
  <c r="F99" i="37"/>
  <c r="F6" i="39"/>
  <c r="F8" i="39"/>
  <c r="F7" i="39"/>
  <c r="Q52" i="2"/>
  <c r="H317" i="1"/>
  <c r="Q32" i="2"/>
  <c r="Q36" i="2"/>
  <c r="H301" i="1"/>
  <c r="Q45" i="2"/>
  <c r="H310" i="1"/>
  <c r="H361" i="1"/>
  <c r="H387" i="1"/>
  <c r="H393" i="1"/>
  <c r="H367" i="1"/>
  <c r="H362" i="1"/>
  <c r="H388" i="1"/>
  <c r="H390" i="37"/>
  <c r="H364" i="37"/>
  <c r="J13" i="40"/>
  <c r="W17" i="36"/>
  <c r="P17" i="36"/>
  <c r="P27" i="38"/>
  <c r="P17" i="38"/>
  <c r="P25" i="38"/>
  <c r="D388" i="5"/>
  <c r="D362" i="5"/>
  <c r="D382" i="5"/>
  <c r="D356" i="5"/>
  <c r="D399" i="5"/>
  <c r="D373" i="5"/>
  <c r="Q19" i="38"/>
  <c r="Q26" i="38"/>
  <c r="Q27" i="38"/>
  <c r="G157" i="5"/>
  <c r="G5" i="5"/>
  <c r="G25" i="5"/>
  <c r="G26" i="5"/>
  <c r="G28" i="5"/>
  <c r="J47" i="5"/>
  <c r="J54" i="5"/>
  <c r="G8" i="5"/>
  <c r="J52" i="5"/>
  <c r="J56" i="5" s="1"/>
  <c r="J247" i="5" s="1"/>
  <c r="I207" i="5"/>
  <c r="J88" i="5"/>
  <c r="I209" i="5"/>
  <c r="J86" i="5"/>
  <c r="J55" i="5"/>
  <c r="J50" i="5"/>
  <c r="J53" i="5"/>
  <c r="G11" i="5"/>
  <c r="J48" i="5"/>
  <c r="J51" i="5"/>
  <c r="G12" i="5"/>
  <c r="G6" i="5"/>
  <c r="J49" i="5"/>
  <c r="J89" i="5"/>
  <c r="F61" i="5"/>
  <c r="F65" i="5"/>
  <c r="K54" i="5"/>
  <c r="K50" i="5"/>
  <c r="F66" i="5"/>
  <c r="K48" i="5"/>
  <c r="F62" i="5"/>
  <c r="F60" i="5"/>
  <c r="K55" i="5"/>
  <c r="K47" i="5"/>
  <c r="K51" i="5"/>
  <c r="F67" i="5"/>
  <c r="F59" i="5"/>
  <c r="F63" i="5"/>
  <c r="G10" i="5"/>
  <c r="K52" i="5"/>
  <c r="K56" i="5" s="1"/>
  <c r="K247" i="5" s="1"/>
  <c r="K49" i="5"/>
  <c r="K53" i="5"/>
  <c r="F64" i="5"/>
  <c r="G159" i="5"/>
  <c r="G158" i="5"/>
  <c r="I207" i="33"/>
  <c r="C159" i="33"/>
  <c r="N210" i="34"/>
  <c r="N211" i="34" s="1"/>
  <c r="C158" i="33"/>
  <c r="N206" i="34"/>
  <c r="B182" i="33"/>
  <c r="H181" i="33"/>
  <c r="C222" i="33" s="1"/>
  <c r="C252" i="33" s="1"/>
  <c r="O24" i="40"/>
  <c r="V24" i="40"/>
  <c r="P40" i="38"/>
  <c r="D391" i="5"/>
  <c r="D365" i="5"/>
  <c r="Q53" i="38"/>
  <c r="C221" i="33"/>
  <c r="C251" i="33" s="1"/>
  <c r="B278" i="33" s="1"/>
  <c r="B304" i="33"/>
  <c r="I213" i="1"/>
  <c r="H338" i="33"/>
  <c r="H346" i="33"/>
  <c r="H332" i="33"/>
  <c r="Q165" i="34"/>
  <c r="Q160" i="34"/>
  <c r="P46" i="2"/>
  <c r="F311" i="1"/>
  <c r="S18" i="2"/>
  <c r="P55" i="2"/>
  <c r="F320" i="1"/>
  <c r="P50" i="2"/>
  <c r="F315" i="1"/>
  <c r="F383" i="1"/>
  <c r="F357" i="1"/>
  <c r="F370" i="1"/>
  <c r="F396" i="1"/>
  <c r="F403" i="1"/>
  <c r="F377" i="1"/>
  <c r="P164" i="2"/>
  <c r="P162" i="2"/>
  <c r="Q42" i="2"/>
  <c r="H307" i="1"/>
  <c r="Q47" i="2"/>
  <c r="H312" i="1"/>
  <c r="Q43" i="2"/>
  <c r="H308" i="1"/>
  <c r="H360" i="1"/>
  <c r="H386" i="1"/>
  <c r="H397" i="1"/>
  <c r="H371" i="1"/>
  <c r="H358" i="1"/>
  <c r="H384" i="1"/>
  <c r="Q161" i="2"/>
  <c r="Q159" i="2"/>
  <c r="W6" i="36"/>
  <c r="P6" i="36"/>
  <c r="H210" i="1"/>
  <c r="P8" i="36"/>
  <c r="W8" i="36"/>
  <c r="W4" i="36"/>
  <c r="P4" i="36"/>
  <c r="B302" i="9"/>
  <c r="B303" i="9"/>
  <c r="B276" i="9"/>
  <c r="B278" i="9"/>
  <c r="B275" i="9"/>
  <c r="B277" i="9"/>
  <c r="B301" i="9"/>
  <c r="B304" i="9"/>
  <c r="B279" i="9"/>
  <c r="B280" i="9"/>
  <c r="B281" i="9"/>
  <c r="B284" i="9"/>
  <c r="B285" i="9"/>
  <c r="B282" i="9"/>
  <c r="B286" i="9"/>
  <c r="B283" i="9"/>
  <c r="B287" i="9"/>
  <c r="B290" i="9"/>
  <c r="B289" i="9"/>
  <c r="B295" i="9"/>
  <c r="B292" i="9"/>
  <c r="B298" i="9"/>
  <c r="B291" i="9"/>
  <c r="B288" i="9"/>
  <c r="B293" i="9"/>
  <c r="B297" i="9"/>
  <c r="B296" i="9"/>
  <c r="B294" i="9"/>
  <c r="K178" i="37"/>
  <c r="I219" i="37" s="1"/>
  <c r="I249" i="37" s="1"/>
  <c r="E179" i="37"/>
  <c r="G204" i="37"/>
  <c r="D69" i="37"/>
  <c r="D70" i="37" s="1"/>
  <c r="H34" i="38"/>
  <c r="P19" i="38"/>
  <c r="P26" i="36"/>
  <c r="W26" i="36"/>
  <c r="P13" i="36"/>
  <c r="W13" i="36"/>
  <c r="W25" i="36"/>
  <c r="P25" i="36"/>
  <c r="D403" i="5"/>
  <c r="D377" i="5"/>
  <c r="D383" i="5"/>
  <c r="D357" i="5"/>
  <c r="D393" i="5"/>
  <c r="D367" i="5"/>
  <c r="Q12" i="38"/>
  <c r="Q17" i="38"/>
  <c r="Q30" i="38"/>
  <c r="O162" i="33"/>
  <c r="G27" i="33"/>
  <c r="G29" i="33" s="1"/>
  <c r="G30" i="33" s="1"/>
  <c r="F177" i="33"/>
  <c r="R2" i="34"/>
  <c r="O163" i="33"/>
  <c r="O173" i="33"/>
  <c r="O168" i="33"/>
  <c r="O171" i="33"/>
  <c r="O169" i="33"/>
  <c r="O164" i="33"/>
  <c r="O167" i="33"/>
  <c r="R164" i="34" s="1"/>
  <c r="S164" i="34" s="1"/>
  <c r="O165" i="33"/>
  <c r="G9" i="33"/>
  <c r="I210" i="33" s="1"/>
  <c r="O170" i="33"/>
  <c r="G7" i="33"/>
  <c r="O166" i="33"/>
  <c r="O172" i="33"/>
  <c r="H211" i="5" l="1"/>
  <c r="I211" i="5"/>
  <c r="I213" i="5"/>
  <c r="E68" i="5"/>
  <c r="L165" i="1"/>
  <c r="D13" i="1"/>
  <c r="D10" i="1"/>
  <c r="E51" i="1"/>
  <c r="C63" i="1" s="1"/>
  <c r="E47" i="1"/>
  <c r="C59" i="1" s="1"/>
  <c r="E53" i="1"/>
  <c r="C65" i="1" s="1"/>
  <c r="E55" i="1"/>
  <c r="C67" i="1" s="1"/>
  <c r="E52" i="1"/>
  <c r="E50" i="1"/>
  <c r="C62" i="1" s="1"/>
  <c r="E49" i="1"/>
  <c r="C61" i="1" s="1"/>
  <c r="E48" i="1"/>
  <c r="C60" i="1" s="1"/>
  <c r="F36" i="2" s="1"/>
  <c r="E54" i="1"/>
  <c r="C66" i="1" s="1"/>
  <c r="D29" i="1"/>
  <c r="L171" i="1"/>
  <c r="L167" i="1"/>
  <c r="L166" i="1"/>
  <c r="L163" i="1"/>
  <c r="L172" i="1"/>
  <c r="N164" i="2"/>
  <c r="N156" i="2" s="1"/>
  <c r="L164" i="1"/>
  <c r="O36" i="2"/>
  <c r="O60" i="2" s="1"/>
  <c r="D389" i="1"/>
  <c r="D363" i="1"/>
  <c r="D365" i="1"/>
  <c r="D391" i="1"/>
  <c r="C247" i="1"/>
  <c r="B68" i="1"/>
  <c r="S59" i="2"/>
  <c r="D384" i="1"/>
  <c r="D358" i="1"/>
  <c r="D402" i="1"/>
  <c r="D376" i="1"/>
  <c r="D366" i="1"/>
  <c r="D392" i="1"/>
  <c r="D364" i="1"/>
  <c r="D390" i="1"/>
  <c r="O32" i="2"/>
  <c r="D385" i="1"/>
  <c r="D359" i="1"/>
  <c r="D369" i="1"/>
  <c r="D395" i="1"/>
  <c r="D362" i="1"/>
  <c r="D388" i="1"/>
  <c r="D368" i="1"/>
  <c r="D394" i="1"/>
  <c r="D370" i="1"/>
  <c r="D396" i="1"/>
  <c r="D375" i="1"/>
  <c r="D401" i="1"/>
  <c r="D386" i="1"/>
  <c r="D360" i="1"/>
  <c r="D367" i="1"/>
  <c r="D393" i="1"/>
  <c r="D372" i="1"/>
  <c r="D398" i="1"/>
  <c r="F212" i="1"/>
  <c r="F34" i="2"/>
  <c r="F210" i="1"/>
  <c r="E88" i="1"/>
  <c r="E89" i="1"/>
  <c r="E86" i="1"/>
  <c r="D400" i="1"/>
  <c r="D374" i="1"/>
  <c r="B69" i="1"/>
  <c r="B70" i="1" s="1"/>
  <c r="D361" i="1"/>
  <c r="D387" i="1"/>
  <c r="D383" i="1"/>
  <c r="D357" i="1"/>
  <c r="R158" i="2"/>
  <c r="R167" i="2"/>
  <c r="D355" i="1"/>
  <c r="D381" i="1"/>
  <c r="D356" i="1"/>
  <c r="D382" i="1"/>
  <c r="D397" i="1"/>
  <c r="D371" i="1"/>
  <c r="D373" i="1"/>
  <c r="D399" i="1"/>
  <c r="D380" i="1"/>
  <c r="D354" i="1"/>
  <c r="D377" i="1"/>
  <c r="D403" i="1"/>
  <c r="R163" i="2"/>
  <c r="S19" i="2"/>
  <c r="S26" i="2"/>
  <c r="S22" i="2"/>
  <c r="Q203" i="2"/>
  <c r="S15" i="2"/>
  <c r="Q32" i="38"/>
  <c r="S50" i="2"/>
  <c r="S55" i="2"/>
  <c r="S56" i="2"/>
  <c r="S44" i="2"/>
  <c r="O135" i="6"/>
  <c r="S135" i="6" s="1"/>
  <c r="D157" i="5"/>
  <c r="Q58" i="34"/>
  <c r="P54" i="44"/>
  <c r="F380" i="37"/>
  <c r="F354" i="37"/>
  <c r="I3" i="40"/>
  <c r="R167" i="34"/>
  <c r="S167" i="34" s="1"/>
  <c r="Q54" i="38"/>
  <c r="Q60" i="2"/>
  <c r="Q61" i="2" s="1"/>
  <c r="Q204" i="2" s="1"/>
  <c r="Q44" i="34"/>
  <c r="R162" i="34"/>
  <c r="S162" i="34" s="1"/>
  <c r="J7" i="36"/>
  <c r="H358" i="33"/>
  <c r="H384" i="33"/>
  <c r="S31" i="2"/>
  <c r="Q53" i="34"/>
  <c r="Q42" i="34"/>
  <c r="Q48" i="34"/>
  <c r="J376" i="1"/>
  <c r="J402" i="1"/>
  <c r="J356" i="1"/>
  <c r="J382" i="1"/>
  <c r="S16" i="2"/>
  <c r="Q48" i="38"/>
  <c r="P37" i="44"/>
  <c r="P44" i="6"/>
  <c r="F310" i="5"/>
  <c r="P56" i="6"/>
  <c r="F322" i="5"/>
  <c r="P41" i="6"/>
  <c r="F307" i="5"/>
  <c r="P46" i="6"/>
  <c r="F312" i="5"/>
  <c r="P45" i="6"/>
  <c r="F311" i="5"/>
  <c r="F387" i="5"/>
  <c r="F361" i="5"/>
  <c r="F401" i="5"/>
  <c r="F375" i="5"/>
  <c r="F398" i="5"/>
  <c r="F372" i="5"/>
  <c r="S11" i="2"/>
  <c r="S54" i="2"/>
  <c r="J6" i="36"/>
  <c r="H357" i="33"/>
  <c r="H383" i="33"/>
  <c r="Q59" i="38"/>
  <c r="P48" i="38"/>
  <c r="S58" i="2"/>
  <c r="S29" i="2"/>
  <c r="E56" i="5"/>
  <c r="C69" i="5" s="1"/>
  <c r="C70" i="5" s="1"/>
  <c r="C64" i="5"/>
  <c r="S45" i="2"/>
  <c r="K89" i="37"/>
  <c r="K86" i="37"/>
  <c r="K97" i="37" s="1"/>
  <c r="K88" i="37"/>
  <c r="K47" i="37"/>
  <c r="F59" i="37" s="1"/>
  <c r="K48" i="37"/>
  <c r="F60" i="37" s="1"/>
  <c r="K53" i="37"/>
  <c r="F65" i="37" s="1"/>
  <c r="K51" i="37"/>
  <c r="F63" i="37" s="1"/>
  <c r="K49" i="37"/>
  <c r="F61" i="37" s="1"/>
  <c r="K55" i="37"/>
  <c r="F67" i="37" s="1"/>
  <c r="K50" i="37"/>
  <c r="F62" i="37" s="1"/>
  <c r="K52" i="37"/>
  <c r="K54" i="37"/>
  <c r="F66" i="37" s="1"/>
  <c r="D14" i="5"/>
  <c r="F205" i="5" s="1"/>
  <c r="F213" i="5"/>
  <c r="F211" i="5"/>
  <c r="F303" i="33"/>
  <c r="H399" i="37"/>
  <c r="J22" i="40"/>
  <c r="H373" i="37"/>
  <c r="H386" i="37"/>
  <c r="H360" i="37"/>
  <c r="J9" i="40"/>
  <c r="J8" i="40"/>
  <c r="H385" i="37"/>
  <c r="H359" i="37"/>
  <c r="I25" i="40"/>
  <c r="F402" i="37"/>
  <c r="F376" i="37"/>
  <c r="I10" i="40"/>
  <c r="F387" i="37"/>
  <c r="F361" i="37"/>
  <c r="E69" i="1"/>
  <c r="E70" i="1" s="1"/>
  <c r="H204" i="1"/>
  <c r="S23" i="2"/>
  <c r="S38" i="2"/>
  <c r="L177" i="33"/>
  <c r="K218" i="33" s="1"/>
  <c r="K248" i="33" s="1"/>
  <c r="F178" i="33"/>
  <c r="B305" i="33"/>
  <c r="B279" i="33"/>
  <c r="I56" i="33"/>
  <c r="E64" i="33"/>
  <c r="Q47" i="34"/>
  <c r="J363" i="1"/>
  <c r="J389" i="1"/>
  <c r="P53" i="6"/>
  <c r="F319" i="5"/>
  <c r="H367" i="37"/>
  <c r="J16" i="40"/>
  <c r="H393" i="37"/>
  <c r="J179" i="37"/>
  <c r="G220" i="37" s="1"/>
  <c r="G250" i="37" s="1"/>
  <c r="D180" i="37"/>
  <c r="P45" i="38"/>
  <c r="Q51" i="34"/>
  <c r="Q59" i="34"/>
  <c r="J365" i="1"/>
  <c r="J391" i="1"/>
  <c r="K86" i="1"/>
  <c r="K88" i="1"/>
  <c r="K89" i="1"/>
  <c r="G13" i="1"/>
  <c r="L34" i="2"/>
  <c r="I212" i="1"/>
  <c r="I210" i="1"/>
  <c r="P43" i="44"/>
  <c r="P40" i="44"/>
  <c r="P52" i="44"/>
  <c r="P52" i="6"/>
  <c r="F318" i="5"/>
  <c r="P40" i="6"/>
  <c r="F306" i="5"/>
  <c r="P42" i="44"/>
  <c r="F377" i="5"/>
  <c r="F403" i="5"/>
  <c r="F396" i="5"/>
  <c r="F370" i="5"/>
  <c r="F384" i="5"/>
  <c r="F358" i="5"/>
  <c r="F397" i="5"/>
  <c r="F371" i="5"/>
  <c r="O137" i="44"/>
  <c r="O138" i="44" s="1"/>
  <c r="O125" i="2" s="1"/>
  <c r="S39" i="2"/>
  <c r="Q49" i="38"/>
  <c r="P44" i="38"/>
  <c r="I182" i="33"/>
  <c r="E223" i="33" s="1"/>
  <c r="E253" i="33" s="1"/>
  <c r="C183" i="33"/>
  <c r="Q2" i="44"/>
  <c r="N165" i="5"/>
  <c r="N169" i="5"/>
  <c r="N173" i="5"/>
  <c r="N162" i="5"/>
  <c r="N166" i="5"/>
  <c r="N170" i="5"/>
  <c r="F27" i="5"/>
  <c r="F29" i="5" s="1"/>
  <c r="F30" i="5" s="1"/>
  <c r="N164" i="5"/>
  <c r="N168" i="5"/>
  <c r="N172" i="5"/>
  <c r="N171" i="5"/>
  <c r="N167" i="5"/>
  <c r="N163" i="5"/>
  <c r="F9" i="5"/>
  <c r="E177" i="5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F7" i="5"/>
  <c r="Q2" i="6"/>
  <c r="H337" i="5"/>
  <c r="H341" i="5"/>
  <c r="H338" i="5"/>
  <c r="H335" i="5"/>
  <c r="H343" i="5"/>
  <c r="H347" i="5"/>
  <c r="H350" i="5"/>
  <c r="H351" i="5"/>
  <c r="H333" i="5"/>
  <c r="H334" i="5"/>
  <c r="H346" i="5"/>
  <c r="H349" i="5"/>
  <c r="H332" i="5"/>
  <c r="H330" i="5"/>
  <c r="H329" i="5"/>
  <c r="H345" i="5"/>
  <c r="H344" i="5"/>
  <c r="H339" i="5"/>
  <c r="H336" i="5"/>
  <c r="H342" i="5"/>
  <c r="H340" i="5"/>
  <c r="H348" i="5"/>
  <c r="H328" i="5"/>
  <c r="H331" i="5"/>
  <c r="Q25" i="6"/>
  <c r="Q17" i="44"/>
  <c r="Q44" i="44" s="1"/>
  <c r="Q9" i="44"/>
  <c r="Q36" i="44" s="1"/>
  <c r="Q25" i="44"/>
  <c r="Q52" i="44" s="1"/>
  <c r="Q28" i="44"/>
  <c r="Q55" i="44" s="1"/>
  <c r="Q29" i="44"/>
  <c r="Q56" i="44" s="1"/>
  <c r="Q10" i="6"/>
  <c r="Q27" i="44"/>
  <c r="Q54" i="44" s="1"/>
  <c r="Q19" i="44"/>
  <c r="Q46" i="44" s="1"/>
  <c r="Q18" i="44"/>
  <c r="Q45" i="44" s="1"/>
  <c r="Q22" i="44"/>
  <c r="Q49" i="44" s="1"/>
  <c r="Q16" i="6"/>
  <c r="Q30" i="6"/>
  <c r="Q18" i="6"/>
  <c r="Q11" i="6"/>
  <c r="Q23" i="6"/>
  <c r="Q12" i="6"/>
  <c r="Q21" i="44"/>
  <c r="Q48" i="44" s="1"/>
  <c r="Q16" i="44"/>
  <c r="Q43" i="44" s="1"/>
  <c r="Q15" i="44"/>
  <c r="Q42" i="44" s="1"/>
  <c r="Q23" i="44"/>
  <c r="Q50" i="44" s="1"/>
  <c r="Q14" i="44"/>
  <c r="Q41" i="44" s="1"/>
  <c r="Q26" i="6"/>
  <c r="Q19" i="6"/>
  <c r="Q13" i="6"/>
  <c r="Q15" i="6"/>
  <c r="Q31" i="6"/>
  <c r="Q27" i="6"/>
  <c r="Q21" i="6"/>
  <c r="Q14" i="6"/>
  <c r="Q10" i="44"/>
  <c r="Q37" i="44" s="1"/>
  <c r="Q24" i="44"/>
  <c r="Q51" i="44" s="1"/>
  <c r="Q31" i="44"/>
  <c r="Q58" i="44" s="1"/>
  <c r="Q9" i="6"/>
  <c r="Q8" i="6"/>
  <c r="Q29" i="6"/>
  <c r="Q22" i="6"/>
  <c r="Q28" i="6"/>
  <c r="Q12" i="44"/>
  <c r="Q39" i="44" s="1"/>
  <c r="Q20" i="44"/>
  <c r="Q47" i="44" s="1"/>
  <c r="Q30" i="44"/>
  <c r="Q57" i="44" s="1"/>
  <c r="Q11" i="44"/>
  <c r="Q38" i="44" s="1"/>
  <c r="Q24" i="6"/>
  <c r="Q17" i="6"/>
  <c r="Q20" i="6"/>
  <c r="Q13" i="44"/>
  <c r="Q40" i="44" s="1"/>
  <c r="Q8" i="44"/>
  <c r="Q26" i="44"/>
  <c r="Q53" i="44" s="1"/>
  <c r="S57" i="2"/>
  <c r="R170" i="38"/>
  <c r="S170" i="38" s="1"/>
  <c r="R161" i="38"/>
  <c r="S161" i="38" s="1"/>
  <c r="P207" i="34"/>
  <c r="E157" i="33"/>
  <c r="S13" i="2"/>
  <c r="H354" i="37"/>
  <c r="H380" i="37"/>
  <c r="J3" i="40"/>
  <c r="H355" i="37"/>
  <c r="H381" i="37"/>
  <c r="J4" i="40"/>
  <c r="H365" i="37"/>
  <c r="H391" i="37"/>
  <c r="J14" i="40"/>
  <c r="P51" i="38"/>
  <c r="F403" i="37"/>
  <c r="F377" i="37"/>
  <c r="I26" i="40"/>
  <c r="F390" i="37"/>
  <c r="F364" i="37"/>
  <c r="I13" i="40"/>
  <c r="I23" i="40"/>
  <c r="F374" i="37"/>
  <c r="F400" i="37"/>
  <c r="S25" i="2"/>
  <c r="S51" i="2"/>
  <c r="Q41" i="34"/>
  <c r="P51" i="6"/>
  <c r="F317" i="5"/>
  <c r="J13" i="36"/>
  <c r="H390" i="33"/>
  <c r="H364" i="33"/>
  <c r="R159" i="34"/>
  <c r="F68" i="5"/>
  <c r="R2" i="44"/>
  <c r="O163" i="5"/>
  <c r="O167" i="5"/>
  <c r="O171" i="5"/>
  <c r="G27" i="5"/>
  <c r="G29" i="5" s="1"/>
  <c r="G30" i="5" s="1"/>
  <c r="O164" i="5"/>
  <c r="O168" i="5"/>
  <c r="O172" i="5"/>
  <c r="O165" i="5"/>
  <c r="O169" i="5"/>
  <c r="O173" i="5"/>
  <c r="O162" i="5"/>
  <c r="O170" i="5"/>
  <c r="O166" i="5"/>
  <c r="G7" i="5"/>
  <c r="J339" i="5"/>
  <c r="G9" i="5"/>
  <c r="J334" i="5"/>
  <c r="J347" i="5"/>
  <c r="J342" i="5"/>
  <c r="J328" i="5"/>
  <c r="J350" i="5"/>
  <c r="J336" i="5"/>
  <c r="J333" i="5"/>
  <c r="J344" i="5"/>
  <c r="J332" i="5"/>
  <c r="J341" i="5"/>
  <c r="J351" i="5"/>
  <c r="J340" i="5"/>
  <c r="R2" i="6"/>
  <c r="J349" i="5"/>
  <c r="J335" i="5"/>
  <c r="J348" i="5"/>
  <c r="F177" i="5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J343" i="5"/>
  <c r="J331" i="5"/>
  <c r="J345" i="5"/>
  <c r="J338" i="5"/>
  <c r="J337" i="5"/>
  <c r="J329" i="5"/>
  <c r="J330" i="5"/>
  <c r="J346" i="5"/>
  <c r="J281" i="5"/>
  <c r="J307" i="5" s="1"/>
  <c r="J275" i="5"/>
  <c r="J301" i="5" s="1"/>
  <c r="J279" i="5"/>
  <c r="J305" i="5" s="1"/>
  <c r="J282" i="5"/>
  <c r="J308" i="5" s="1"/>
  <c r="J277" i="5"/>
  <c r="J303" i="5" s="1"/>
  <c r="J280" i="5"/>
  <c r="J306" i="5" s="1"/>
  <c r="J278" i="5"/>
  <c r="J304" i="5" s="1"/>
  <c r="J276" i="5"/>
  <c r="J302" i="5" s="1"/>
  <c r="J284" i="5"/>
  <c r="J310" i="5" s="1"/>
  <c r="J283" i="5"/>
  <c r="J309" i="5" s="1"/>
  <c r="J285" i="5"/>
  <c r="J311" i="5" s="1"/>
  <c r="J286" i="5"/>
  <c r="J312" i="5" s="1"/>
  <c r="J291" i="5"/>
  <c r="J317" i="5" s="1"/>
  <c r="J292" i="5"/>
  <c r="J318" i="5" s="1"/>
  <c r="J293" i="5"/>
  <c r="J319" i="5" s="1"/>
  <c r="J288" i="5"/>
  <c r="J314" i="5" s="1"/>
  <c r="J289" i="5"/>
  <c r="J315" i="5" s="1"/>
  <c r="J294" i="5"/>
  <c r="J320" i="5" s="1"/>
  <c r="J287" i="5"/>
  <c r="J313" i="5" s="1"/>
  <c r="J290" i="5"/>
  <c r="J316" i="5" s="1"/>
  <c r="J298" i="5"/>
  <c r="J324" i="5" s="1"/>
  <c r="J296" i="5"/>
  <c r="J322" i="5" s="1"/>
  <c r="J297" i="5"/>
  <c r="J323" i="5" s="1"/>
  <c r="J295" i="5"/>
  <c r="J321" i="5" s="1"/>
  <c r="R11" i="6"/>
  <c r="R38" i="6" s="1"/>
  <c r="R24" i="6"/>
  <c r="R51" i="6" s="1"/>
  <c r="R17" i="6"/>
  <c r="R44" i="6" s="1"/>
  <c r="R15" i="6"/>
  <c r="R42" i="6" s="1"/>
  <c r="R31" i="6"/>
  <c r="R58" i="6" s="1"/>
  <c r="R23" i="44"/>
  <c r="R50" i="44" s="1"/>
  <c r="R26" i="44"/>
  <c r="R53" i="44" s="1"/>
  <c r="R17" i="44"/>
  <c r="R44" i="44" s="1"/>
  <c r="R25" i="44"/>
  <c r="R52" i="44" s="1"/>
  <c r="R20" i="44"/>
  <c r="R47" i="44" s="1"/>
  <c r="R22" i="6"/>
  <c r="R49" i="6" s="1"/>
  <c r="R19" i="6"/>
  <c r="R46" i="6" s="1"/>
  <c r="R12" i="6"/>
  <c r="R39" i="6" s="1"/>
  <c r="R25" i="6"/>
  <c r="R52" i="6" s="1"/>
  <c r="R19" i="44"/>
  <c r="R46" i="44" s="1"/>
  <c r="R29" i="44"/>
  <c r="R56" i="44" s="1"/>
  <c r="R8" i="44"/>
  <c r="R27" i="6"/>
  <c r="R54" i="6" s="1"/>
  <c r="R20" i="6"/>
  <c r="R47" i="6" s="1"/>
  <c r="R10" i="44"/>
  <c r="R37" i="44" s="1"/>
  <c r="R13" i="44"/>
  <c r="R40" i="44" s="1"/>
  <c r="R11" i="44"/>
  <c r="R38" i="44" s="1"/>
  <c r="R16" i="44"/>
  <c r="R43" i="44" s="1"/>
  <c r="R28" i="6"/>
  <c r="R55" i="6" s="1"/>
  <c r="R18" i="6"/>
  <c r="R45" i="6" s="1"/>
  <c r="R14" i="44"/>
  <c r="R41" i="44" s="1"/>
  <c r="R22" i="44"/>
  <c r="R49" i="44" s="1"/>
  <c r="R30" i="44"/>
  <c r="R57" i="44" s="1"/>
  <c r="R8" i="6"/>
  <c r="R13" i="6"/>
  <c r="R40" i="6" s="1"/>
  <c r="R10" i="6"/>
  <c r="R37" i="6" s="1"/>
  <c r="R12" i="44"/>
  <c r="R39" i="44" s="1"/>
  <c r="R24" i="44"/>
  <c r="R51" i="44" s="1"/>
  <c r="R27" i="44"/>
  <c r="R54" i="44" s="1"/>
  <c r="R31" i="44"/>
  <c r="R58" i="44" s="1"/>
  <c r="R23" i="6"/>
  <c r="R50" i="6" s="1"/>
  <c r="R28" i="44"/>
  <c r="R55" i="44" s="1"/>
  <c r="R21" i="6"/>
  <c r="R48" i="6" s="1"/>
  <c r="R14" i="6"/>
  <c r="R41" i="6" s="1"/>
  <c r="R15" i="44"/>
  <c r="R42" i="44" s="1"/>
  <c r="R18" i="44"/>
  <c r="R45" i="44" s="1"/>
  <c r="R29" i="6"/>
  <c r="R56" i="6" s="1"/>
  <c r="R26" i="6"/>
  <c r="R53" i="6" s="1"/>
  <c r="R30" i="6"/>
  <c r="R57" i="6" s="1"/>
  <c r="R16" i="6"/>
  <c r="R43" i="6" s="1"/>
  <c r="R9" i="6"/>
  <c r="R36" i="6" s="1"/>
  <c r="R9" i="44"/>
  <c r="R36" i="44" s="1"/>
  <c r="R21" i="44"/>
  <c r="R48" i="44" s="1"/>
  <c r="P55" i="38"/>
  <c r="P60" i="2"/>
  <c r="P61" i="2" s="1"/>
  <c r="Q55" i="34"/>
  <c r="Q40" i="34"/>
  <c r="Q37" i="34"/>
  <c r="J394" i="1"/>
  <c r="J368" i="1"/>
  <c r="J355" i="1"/>
  <c r="J381" i="1"/>
  <c r="J374" i="1"/>
  <c r="J400" i="1"/>
  <c r="J398" i="1"/>
  <c r="J372" i="1"/>
  <c r="R165" i="2"/>
  <c r="R159" i="2"/>
  <c r="C182" i="37"/>
  <c r="I181" i="37"/>
  <c r="E222" i="37" s="1"/>
  <c r="E252" i="37" s="1"/>
  <c r="F275" i="33"/>
  <c r="F277" i="33"/>
  <c r="F276" i="33"/>
  <c r="F278" i="33"/>
  <c r="F301" i="33"/>
  <c r="F302" i="33"/>
  <c r="P36" i="6"/>
  <c r="F302" i="5"/>
  <c r="P41" i="44"/>
  <c r="S41" i="44" s="1"/>
  <c r="P39" i="44"/>
  <c r="S39" i="44" s="1"/>
  <c r="P42" i="6"/>
  <c r="F308" i="5"/>
  <c r="P50" i="44"/>
  <c r="P47" i="44"/>
  <c r="S47" i="44" s="1"/>
  <c r="S20" i="44"/>
  <c r="F363" i="5"/>
  <c r="F389" i="5"/>
  <c r="F386" i="5"/>
  <c r="F360" i="5"/>
  <c r="F380" i="5"/>
  <c r="F354" i="5"/>
  <c r="S9" i="2"/>
  <c r="G212" i="5"/>
  <c r="S43" i="2"/>
  <c r="S47" i="2"/>
  <c r="R169" i="38"/>
  <c r="S169" i="38" s="1"/>
  <c r="R163" i="38"/>
  <c r="S163" i="38" s="1"/>
  <c r="R164" i="38"/>
  <c r="S164" i="38" s="1"/>
  <c r="F204" i="5"/>
  <c r="E179" i="33"/>
  <c r="K178" i="33"/>
  <c r="I219" i="33" s="1"/>
  <c r="I249" i="33" s="1"/>
  <c r="H383" i="37"/>
  <c r="J6" i="40"/>
  <c r="H357" i="37"/>
  <c r="H358" i="37"/>
  <c r="H384" i="37"/>
  <c r="J7" i="40"/>
  <c r="P58" i="38"/>
  <c r="F382" i="37"/>
  <c r="F356" i="37"/>
  <c r="I5" i="40"/>
  <c r="I18" i="40"/>
  <c r="F395" i="37"/>
  <c r="F369" i="37"/>
  <c r="I22" i="40"/>
  <c r="F399" i="37"/>
  <c r="F373" i="37"/>
  <c r="B301" i="5"/>
  <c r="B302" i="5"/>
  <c r="B276" i="5"/>
  <c r="B275" i="5"/>
  <c r="B277" i="5"/>
  <c r="B278" i="5"/>
  <c r="B279" i="5"/>
  <c r="B280" i="5"/>
  <c r="B281" i="5"/>
  <c r="B284" i="5"/>
  <c r="B285" i="5"/>
  <c r="B282" i="5"/>
  <c r="B286" i="5"/>
  <c r="B290" i="5"/>
  <c r="B283" i="5"/>
  <c r="B292" i="5"/>
  <c r="B293" i="5"/>
  <c r="B288" i="5"/>
  <c r="B296" i="5"/>
  <c r="B291" i="5"/>
  <c r="B287" i="5"/>
  <c r="B289" i="5"/>
  <c r="B295" i="5"/>
  <c r="B297" i="5"/>
  <c r="B294" i="5"/>
  <c r="B298" i="5"/>
  <c r="B304" i="5"/>
  <c r="B303" i="5"/>
  <c r="N137" i="6"/>
  <c r="N138" i="6" s="1"/>
  <c r="N124" i="2" s="1"/>
  <c r="C159" i="5"/>
  <c r="H159" i="5" s="1"/>
  <c r="C158" i="5"/>
  <c r="H158" i="5" s="1"/>
  <c r="F355" i="5"/>
  <c r="F381" i="5"/>
  <c r="P37" i="38"/>
  <c r="F302" i="37"/>
  <c r="I6" i="40"/>
  <c r="F383" i="37"/>
  <c r="F357" i="37"/>
  <c r="Q43" i="34"/>
  <c r="R166" i="34"/>
  <c r="S166" i="34" s="1"/>
  <c r="R163" i="34"/>
  <c r="S163" i="34" s="1"/>
  <c r="R168" i="34"/>
  <c r="S168" i="34" s="1"/>
  <c r="Q58" i="38"/>
  <c r="S46" i="2"/>
  <c r="Q54" i="34"/>
  <c r="Q45" i="34"/>
  <c r="J390" i="1"/>
  <c r="J364" i="1"/>
  <c r="J397" i="1"/>
  <c r="J371" i="1"/>
  <c r="J396" i="1"/>
  <c r="J370" i="1"/>
  <c r="J403" i="1"/>
  <c r="J377" i="1"/>
  <c r="R161" i="2"/>
  <c r="G210" i="5"/>
  <c r="C7" i="35"/>
  <c r="P32" i="6"/>
  <c r="P35" i="6"/>
  <c r="S8" i="6"/>
  <c r="F301" i="5"/>
  <c r="P46" i="44"/>
  <c r="P49" i="44"/>
  <c r="S49" i="44" s="1"/>
  <c r="S22" i="44"/>
  <c r="P53" i="44"/>
  <c r="S53" i="44" s="1"/>
  <c r="S26" i="44"/>
  <c r="P38" i="44"/>
  <c r="P37" i="6"/>
  <c r="F303" i="5"/>
  <c r="S10" i="6"/>
  <c r="F376" i="5"/>
  <c r="F402" i="5"/>
  <c r="F356" i="5"/>
  <c r="F382" i="5"/>
  <c r="F393" i="5"/>
  <c r="F367" i="5"/>
  <c r="D157" i="37"/>
  <c r="O208" i="38" s="1"/>
  <c r="E7" i="39" s="1"/>
  <c r="O207" i="38"/>
  <c r="G204" i="1"/>
  <c r="D69" i="1"/>
  <c r="D70" i="1" s="1"/>
  <c r="S20" i="2"/>
  <c r="F14" i="5"/>
  <c r="H205" i="5" s="1"/>
  <c r="S21" i="2"/>
  <c r="F178" i="37"/>
  <c r="L177" i="37"/>
  <c r="K218" i="37" s="1"/>
  <c r="K248" i="37" s="1"/>
  <c r="R166" i="38"/>
  <c r="S166" i="38" s="1"/>
  <c r="I247" i="37"/>
  <c r="H302" i="37" s="1"/>
  <c r="E68" i="37"/>
  <c r="P203" i="2"/>
  <c r="P156" i="2"/>
  <c r="S14" i="2"/>
  <c r="S41" i="2"/>
  <c r="Q46" i="38"/>
  <c r="H392" i="37"/>
  <c r="H366" i="37"/>
  <c r="J15" i="40"/>
  <c r="J21" i="40"/>
  <c r="H398" i="37"/>
  <c r="H372" i="37"/>
  <c r="H403" i="37"/>
  <c r="J26" i="40"/>
  <c r="H377" i="37"/>
  <c r="P39" i="38"/>
  <c r="I14" i="40"/>
  <c r="F365" i="37"/>
  <c r="F391" i="37"/>
  <c r="I17" i="40"/>
  <c r="F394" i="37"/>
  <c r="F368" i="37"/>
  <c r="I20" i="40"/>
  <c r="F397" i="37"/>
  <c r="F371" i="37"/>
  <c r="S53" i="2"/>
  <c r="P53" i="38"/>
  <c r="J360" i="1"/>
  <c r="J386" i="1"/>
  <c r="P48" i="6"/>
  <c r="F314" i="5"/>
  <c r="S21" i="6"/>
  <c r="F400" i="5"/>
  <c r="F374" i="5"/>
  <c r="R167" i="38"/>
  <c r="S167" i="38" s="1"/>
  <c r="I4" i="40"/>
  <c r="F381" i="37"/>
  <c r="F355" i="37"/>
  <c r="R161" i="34"/>
  <c r="H182" i="33"/>
  <c r="C223" i="33" s="1"/>
  <c r="C253" i="33" s="1"/>
  <c r="B183" i="33"/>
  <c r="X13" i="40"/>
  <c r="Q13" i="40"/>
  <c r="Q50" i="34"/>
  <c r="J380" i="1"/>
  <c r="J354" i="1"/>
  <c r="R169" i="34"/>
  <c r="S169" i="34" s="1"/>
  <c r="K86" i="33"/>
  <c r="K97" i="33" s="1"/>
  <c r="K89" i="33"/>
  <c r="K88" i="33"/>
  <c r="K55" i="33"/>
  <c r="F67" i="33" s="1"/>
  <c r="K52" i="33"/>
  <c r="K53" i="33"/>
  <c r="F65" i="33" s="1"/>
  <c r="K48" i="33"/>
  <c r="F60" i="33" s="1"/>
  <c r="K54" i="33"/>
  <c r="F66" i="33" s="1"/>
  <c r="K50" i="33"/>
  <c r="F62" i="33" s="1"/>
  <c r="K49" i="33"/>
  <c r="F61" i="33" s="1"/>
  <c r="K47" i="33"/>
  <c r="F59" i="33" s="1"/>
  <c r="K51" i="33"/>
  <c r="F63" i="33" s="1"/>
  <c r="R165" i="34"/>
  <c r="S165" i="34" s="1"/>
  <c r="Q45" i="38"/>
  <c r="Q55" i="38"/>
  <c r="S12" i="2"/>
  <c r="Q38" i="34"/>
  <c r="Q56" i="34"/>
  <c r="Q57" i="34"/>
  <c r="J387" i="1"/>
  <c r="J361" i="1"/>
  <c r="J369" i="1"/>
  <c r="J395" i="1"/>
  <c r="J388" i="1"/>
  <c r="J362" i="1"/>
  <c r="J373" i="1"/>
  <c r="J399" i="1"/>
  <c r="R168" i="2"/>
  <c r="P50" i="6"/>
  <c r="F316" i="5"/>
  <c r="P56" i="44"/>
  <c r="P55" i="44"/>
  <c r="S55" i="44" s="1"/>
  <c r="S28" i="44"/>
  <c r="P36" i="44"/>
  <c r="S36" i="44" s="1"/>
  <c r="S9" i="44"/>
  <c r="P39" i="6"/>
  <c r="F305" i="5"/>
  <c r="P43" i="6"/>
  <c r="F309" i="5"/>
  <c r="S16" i="6"/>
  <c r="G88" i="5"/>
  <c r="G89" i="5"/>
  <c r="G86" i="5"/>
  <c r="F373" i="5"/>
  <c r="F399" i="5"/>
  <c r="P49" i="38"/>
  <c r="S37" i="2"/>
  <c r="Q205" i="34"/>
  <c r="Q158" i="34"/>
  <c r="P32" i="38"/>
  <c r="H213" i="5"/>
  <c r="H278" i="5"/>
  <c r="H275" i="5"/>
  <c r="H276" i="5"/>
  <c r="H277" i="5"/>
  <c r="H279" i="5"/>
  <c r="H280" i="5"/>
  <c r="H282" i="5"/>
  <c r="H287" i="5"/>
  <c r="H284" i="5"/>
  <c r="H283" i="5"/>
  <c r="H286" i="5"/>
  <c r="H281" i="5"/>
  <c r="H285" i="5"/>
  <c r="H288" i="5"/>
  <c r="H289" i="5"/>
  <c r="H290" i="5"/>
  <c r="H294" i="5"/>
  <c r="H293" i="5"/>
  <c r="H291" i="5"/>
  <c r="H295" i="5"/>
  <c r="H292" i="5"/>
  <c r="H296" i="5"/>
  <c r="H297" i="5"/>
  <c r="H298" i="5"/>
  <c r="F14" i="33"/>
  <c r="H205" i="33" s="1"/>
  <c r="H213" i="33"/>
  <c r="H328" i="33"/>
  <c r="H342" i="33"/>
  <c r="H337" i="33"/>
  <c r="H333" i="33"/>
  <c r="H340" i="33"/>
  <c r="H211" i="33"/>
  <c r="H350" i="33"/>
  <c r="H345" i="33"/>
  <c r="H335" i="33"/>
  <c r="H336" i="33"/>
  <c r="H329" i="33"/>
  <c r="H348" i="33"/>
  <c r="H343" i="33"/>
  <c r="H339" i="33"/>
  <c r="H344" i="33"/>
  <c r="H334" i="33"/>
  <c r="H347" i="33"/>
  <c r="H330" i="33"/>
  <c r="H349" i="33"/>
  <c r="D278" i="37"/>
  <c r="R23" i="38"/>
  <c r="R51" i="38" s="1"/>
  <c r="R14" i="38"/>
  <c r="R24" i="38"/>
  <c r="R52" i="38" s="1"/>
  <c r="R12" i="38"/>
  <c r="R40" i="38" s="1"/>
  <c r="L34" i="38"/>
  <c r="R16" i="38"/>
  <c r="R44" i="38" s="1"/>
  <c r="R18" i="38"/>
  <c r="R46" i="38" s="1"/>
  <c r="G13" i="37"/>
  <c r="R9" i="38"/>
  <c r="R37" i="38" s="1"/>
  <c r="R27" i="38"/>
  <c r="R55" i="38" s="1"/>
  <c r="R20" i="38"/>
  <c r="R48" i="38" s="1"/>
  <c r="R25" i="38"/>
  <c r="R53" i="38" s="1"/>
  <c r="R13" i="38"/>
  <c r="R22" i="38"/>
  <c r="R31" i="38"/>
  <c r="R11" i="38"/>
  <c r="R39" i="38" s="1"/>
  <c r="R17" i="38"/>
  <c r="R45" i="38" s="1"/>
  <c r="R26" i="38"/>
  <c r="R54" i="38" s="1"/>
  <c r="R28" i="38"/>
  <c r="R30" i="38"/>
  <c r="R58" i="38" s="1"/>
  <c r="I212" i="37"/>
  <c r="G10" i="37"/>
  <c r="I210" i="37"/>
  <c r="Q156" i="2"/>
  <c r="N208" i="38"/>
  <c r="Q57" i="38"/>
  <c r="H400" i="37"/>
  <c r="H374" i="37"/>
  <c r="J23" i="40"/>
  <c r="J20" i="40"/>
  <c r="H397" i="37"/>
  <c r="H371" i="37"/>
  <c r="H382" i="37"/>
  <c r="H356" i="37"/>
  <c r="J5" i="40"/>
  <c r="I16" i="40"/>
  <c r="F367" i="37"/>
  <c r="F393" i="37"/>
  <c r="F363" i="37"/>
  <c r="I12" i="40"/>
  <c r="F389" i="37"/>
  <c r="F360" i="37"/>
  <c r="I9" i="40"/>
  <c r="F386" i="37"/>
  <c r="S24" i="2"/>
  <c r="S135" i="44"/>
  <c r="H398" i="33"/>
  <c r="J21" i="36"/>
  <c r="H372" i="33"/>
  <c r="J358" i="1"/>
  <c r="J384" i="1"/>
  <c r="Q44" i="38"/>
  <c r="P48" i="44"/>
  <c r="F390" i="5"/>
  <c r="F364" i="5"/>
  <c r="J16" i="36"/>
  <c r="H393" i="33"/>
  <c r="H367" i="33"/>
  <c r="R170" i="34"/>
  <c r="S170" i="34" s="1"/>
  <c r="K179" i="37"/>
  <c r="I220" i="37" s="1"/>
  <c r="I250" i="37" s="1"/>
  <c r="E180" i="37"/>
  <c r="J359" i="1"/>
  <c r="J385" i="1"/>
  <c r="J357" i="1"/>
  <c r="J383" i="1"/>
  <c r="P51" i="44"/>
  <c r="S51" i="44" s="1"/>
  <c r="P32" i="44"/>
  <c r="P35" i="44"/>
  <c r="S8" i="44"/>
  <c r="P44" i="44"/>
  <c r="S44" i="44" s="1"/>
  <c r="P57" i="44"/>
  <c r="P55" i="6"/>
  <c r="F321" i="5"/>
  <c r="P58" i="6"/>
  <c r="F324" i="5"/>
  <c r="S31" i="6"/>
  <c r="G204" i="5"/>
  <c r="D69" i="5"/>
  <c r="D70" i="5" s="1"/>
  <c r="F392" i="5"/>
  <c r="F366" i="5"/>
  <c r="F369" i="5"/>
  <c r="F395" i="5"/>
  <c r="P46" i="38"/>
  <c r="G247" i="37"/>
  <c r="D68" i="37"/>
  <c r="S161" i="34"/>
  <c r="S30" i="2"/>
  <c r="S48" i="2"/>
  <c r="I213" i="33"/>
  <c r="S17" i="2"/>
  <c r="S49" i="2"/>
  <c r="R165" i="38"/>
  <c r="S165" i="38" s="1"/>
  <c r="R159" i="38"/>
  <c r="R160" i="38"/>
  <c r="S160" i="38" s="1"/>
  <c r="I212" i="33"/>
  <c r="S42" i="2"/>
  <c r="C158" i="37"/>
  <c r="N206" i="38"/>
  <c r="C159" i="37"/>
  <c r="N210" i="38"/>
  <c r="N211" i="38" s="1"/>
  <c r="Q41" i="38"/>
  <c r="H389" i="37"/>
  <c r="H363" i="37"/>
  <c r="J12" i="40"/>
  <c r="J11" i="40"/>
  <c r="H388" i="37"/>
  <c r="H362" i="37"/>
  <c r="J19" i="40"/>
  <c r="H370" i="37"/>
  <c r="H396" i="37"/>
  <c r="F358" i="37"/>
  <c r="F384" i="37"/>
  <c r="I7" i="40"/>
  <c r="F366" i="37"/>
  <c r="F392" i="37"/>
  <c r="I15" i="40"/>
  <c r="I24" i="40"/>
  <c r="F401" i="37"/>
  <c r="F375" i="37"/>
  <c r="W19" i="40"/>
  <c r="P19" i="40"/>
  <c r="I6" i="39"/>
  <c r="I9" i="39"/>
  <c r="I10" i="39"/>
  <c r="S10" i="2"/>
  <c r="C105" i="1"/>
  <c r="P47" i="38"/>
  <c r="Q49" i="34"/>
  <c r="P57" i="6"/>
  <c r="F323" i="5"/>
  <c r="F357" i="5"/>
  <c r="F383" i="5"/>
  <c r="D305" i="33"/>
  <c r="D279" i="33"/>
  <c r="D181" i="33"/>
  <c r="J180" i="33"/>
  <c r="G221" i="33" s="1"/>
  <c r="G251" i="33" s="1"/>
  <c r="F304" i="33" s="1"/>
  <c r="J17" i="40"/>
  <c r="H368" i="37"/>
  <c r="H394" i="37"/>
  <c r="Q40" i="38"/>
  <c r="G6" i="39"/>
  <c r="G9" i="39"/>
  <c r="G10" i="39"/>
  <c r="Q32" i="34"/>
  <c r="Q36" i="34"/>
  <c r="Q39" i="34"/>
  <c r="R11" i="34"/>
  <c r="R39" i="34" s="1"/>
  <c r="L34" i="34"/>
  <c r="R12" i="34"/>
  <c r="R40" i="34" s="1"/>
  <c r="R27" i="34"/>
  <c r="R55" i="34" s="1"/>
  <c r="R8" i="34"/>
  <c r="G13" i="33"/>
  <c r="R24" i="34"/>
  <c r="R52" i="34" s="1"/>
  <c r="R30" i="34"/>
  <c r="R58" i="34" s="1"/>
  <c r="R10" i="34"/>
  <c r="R38" i="34" s="1"/>
  <c r="R21" i="34"/>
  <c r="R49" i="34" s="1"/>
  <c r="R19" i="34"/>
  <c r="R47" i="34" s="1"/>
  <c r="R17" i="34"/>
  <c r="R45" i="34" s="1"/>
  <c r="R20" i="34"/>
  <c r="R48" i="34" s="1"/>
  <c r="R16" i="34"/>
  <c r="R44" i="34" s="1"/>
  <c r="R28" i="34"/>
  <c r="R56" i="34" s="1"/>
  <c r="R14" i="34"/>
  <c r="R42" i="34" s="1"/>
  <c r="R22" i="34"/>
  <c r="R50" i="34" s="1"/>
  <c r="R15" i="34"/>
  <c r="R43" i="34" s="1"/>
  <c r="R18" i="34"/>
  <c r="R46" i="34" s="1"/>
  <c r="R9" i="34"/>
  <c r="R37" i="34" s="1"/>
  <c r="G10" i="33"/>
  <c r="I211" i="33" s="1"/>
  <c r="R160" i="34"/>
  <c r="S160" i="34" s="1"/>
  <c r="S27" i="2"/>
  <c r="C8" i="35"/>
  <c r="C11" i="35" s="1"/>
  <c r="G14" i="5"/>
  <c r="I205" i="5" s="1"/>
  <c r="Q47" i="38"/>
  <c r="S40" i="2"/>
  <c r="I5" i="35"/>
  <c r="H7" i="35"/>
  <c r="H99" i="33"/>
  <c r="H5" i="35"/>
  <c r="H6" i="35"/>
  <c r="H8" i="35"/>
  <c r="Q52" i="34"/>
  <c r="H204" i="33"/>
  <c r="E70" i="33"/>
  <c r="E69" i="33"/>
  <c r="Q46" i="34"/>
  <c r="R36" i="2"/>
  <c r="R60" i="2" s="1"/>
  <c r="R32" i="2"/>
  <c r="J366" i="1"/>
  <c r="J392" i="1"/>
  <c r="J401" i="1"/>
  <c r="J375" i="1"/>
  <c r="J367" i="1"/>
  <c r="J393" i="1"/>
  <c r="R166" i="2"/>
  <c r="R160" i="2"/>
  <c r="Q52" i="38"/>
  <c r="P45" i="44"/>
  <c r="P58" i="44"/>
  <c r="P49" i="6"/>
  <c r="F315" i="5"/>
  <c r="S22" i="6"/>
  <c r="P54" i="6"/>
  <c r="F320" i="5"/>
  <c r="S27" i="6"/>
  <c r="P47" i="6"/>
  <c r="F313" i="5"/>
  <c r="S20" i="6"/>
  <c r="P38" i="6"/>
  <c r="S11" i="6"/>
  <c r="F304" i="5"/>
  <c r="F391" i="5"/>
  <c r="F365" i="5"/>
  <c r="F394" i="5"/>
  <c r="F368" i="5"/>
  <c r="F362" i="5"/>
  <c r="F388" i="5"/>
  <c r="F385" i="5"/>
  <c r="F359" i="5"/>
  <c r="P52" i="38"/>
  <c r="J26" i="36"/>
  <c r="H403" i="33"/>
  <c r="H377" i="33"/>
  <c r="R168" i="38"/>
  <c r="S168" i="38" s="1"/>
  <c r="R162" i="38"/>
  <c r="S162" i="38" s="1"/>
  <c r="J351" i="37"/>
  <c r="J345" i="37"/>
  <c r="S28" i="2"/>
  <c r="J10" i="40"/>
  <c r="H361" i="37"/>
  <c r="H387" i="37"/>
  <c r="J24" i="40"/>
  <c r="H401" i="37"/>
  <c r="H375" i="37"/>
  <c r="H402" i="37"/>
  <c r="H376" i="37"/>
  <c r="J25" i="40"/>
  <c r="F359" i="37"/>
  <c r="F385" i="37"/>
  <c r="I8" i="40"/>
  <c r="F388" i="37"/>
  <c r="I11" i="40"/>
  <c r="F362" i="37"/>
  <c r="F372" i="37"/>
  <c r="F398" i="37"/>
  <c r="I21" i="40"/>
  <c r="Q18" i="40"/>
  <c r="X18" i="40"/>
  <c r="S52" i="2"/>
  <c r="S15" i="6" l="1"/>
  <c r="S137" i="44"/>
  <c r="S24" i="44"/>
  <c r="S14" i="44"/>
  <c r="S14" i="6"/>
  <c r="S58" i="44"/>
  <c r="S18" i="44"/>
  <c r="D105" i="1"/>
  <c r="D140" i="1" s="1"/>
  <c r="S125" i="2"/>
  <c r="S13" i="6"/>
  <c r="S13" i="44"/>
  <c r="S21" i="44"/>
  <c r="S29" i="44"/>
  <c r="S28" i="6"/>
  <c r="S48" i="44"/>
  <c r="S56" i="44"/>
  <c r="S24" i="6"/>
  <c r="S23" i="6"/>
  <c r="S45" i="44"/>
  <c r="S17" i="6"/>
  <c r="S29" i="6"/>
  <c r="S30" i="6"/>
  <c r="S17" i="44"/>
  <c r="O161" i="2"/>
  <c r="O167" i="2"/>
  <c r="S167" i="2" s="1"/>
  <c r="D30" i="1"/>
  <c r="O166" i="2" s="1"/>
  <c r="S166" i="2" s="1"/>
  <c r="L170" i="1"/>
  <c r="O165" i="2" s="1"/>
  <c r="S165" i="2" s="1"/>
  <c r="L169" i="1"/>
  <c r="O164" i="2" s="1"/>
  <c r="S164" i="2" s="1"/>
  <c r="L173" i="1"/>
  <c r="O168" i="2" s="1"/>
  <c r="S168" i="2" s="1"/>
  <c r="L168" i="1"/>
  <c r="S161" i="2"/>
  <c r="N203" i="2"/>
  <c r="D14" i="1"/>
  <c r="F205" i="1" s="1"/>
  <c r="F213" i="1"/>
  <c r="F211" i="1"/>
  <c r="O158" i="2"/>
  <c r="S158" i="2" s="1"/>
  <c r="C69" i="1"/>
  <c r="C70" i="1" s="1"/>
  <c r="F204" i="1"/>
  <c r="L162" i="1"/>
  <c r="O157" i="2" s="1"/>
  <c r="E56" i="1"/>
  <c r="C64" i="1"/>
  <c r="O160" i="2"/>
  <c r="S160" i="2" s="1"/>
  <c r="B281" i="1"/>
  <c r="B292" i="1"/>
  <c r="B294" i="1"/>
  <c r="B303" i="1"/>
  <c r="B282" i="1"/>
  <c r="B289" i="1"/>
  <c r="B284" i="1"/>
  <c r="B301" i="1"/>
  <c r="B296" i="1"/>
  <c r="B279" i="1"/>
  <c r="B291" i="1"/>
  <c r="B285" i="1"/>
  <c r="B302" i="1"/>
  <c r="B280" i="1"/>
  <c r="B295" i="1"/>
  <c r="B293" i="1"/>
  <c r="B304" i="1"/>
  <c r="B283" i="1"/>
  <c r="B297" i="1"/>
  <c r="B276" i="1"/>
  <c r="B278" i="1"/>
  <c r="B298" i="1"/>
  <c r="B287" i="1"/>
  <c r="B275" i="1"/>
  <c r="B286" i="1"/>
  <c r="B290" i="1"/>
  <c r="B277" i="1"/>
  <c r="B288" i="1"/>
  <c r="O61" i="2"/>
  <c r="S32" i="2"/>
  <c r="R203" i="2"/>
  <c r="P204" i="2"/>
  <c r="S46" i="38"/>
  <c r="S54" i="38"/>
  <c r="S18" i="38"/>
  <c r="R61" i="2"/>
  <c r="S40" i="38"/>
  <c r="S12" i="38"/>
  <c r="S46" i="34"/>
  <c r="Q60" i="38"/>
  <c r="Q61" i="38" s="1"/>
  <c r="Q207" i="38" s="1"/>
  <c r="S38" i="34"/>
  <c r="S42" i="34"/>
  <c r="S55" i="34"/>
  <c r="S24" i="34"/>
  <c r="S51" i="38"/>
  <c r="S56" i="34"/>
  <c r="C104" i="1"/>
  <c r="N139" i="2"/>
  <c r="R36" i="34"/>
  <c r="Q23" i="40"/>
  <c r="X23" i="40"/>
  <c r="J22" i="36"/>
  <c r="H399" i="33"/>
  <c r="H373" i="33"/>
  <c r="X21" i="36"/>
  <c r="Q21" i="36"/>
  <c r="H374" i="33"/>
  <c r="H400" i="33"/>
  <c r="J23" i="36"/>
  <c r="J403" i="37"/>
  <c r="J377" i="37"/>
  <c r="K26" i="40"/>
  <c r="S52" i="38"/>
  <c r="F69" i="33"/>
  <c r="I204" i="33"/>
  <c r="S11" i="34"/>
  <c r="P24" i="40"/>
  <c r="W24" i="40"/>
  <c r="S57" i="44"/>
  <c r="R156" i="2"/>
  <c r="H303" i="37"/>
  <c r="S138" i="44"/>
  <c r="Q20" i="40"/>
  <c r="X20" i="40"/>
  <c r="J5" i="36"/>
  <c r="H382" i="33"/>
  <c r="H356" i="33"/>
  <c r="H388" i="33"/>
  <c r="H362" i="33"/>
  <c r="J11" i="36"/>
  <c r="J17" i="36"/>
  <c r="H394" i="33"/>
  <c r="H368" i="33"/>
  <c r="H183" i="33"/>
  <c r="C224" i="33" s="1"/>
  <c r="C254" i="33" s="1"/>
  <c r="B184" i="33"/>
  <c r="S53" i="38"/>
  <c r="D159" i="37"/>
  <c r="O206" i="38"/>
  <c r="O210" i="38"/>
  <c r="E8" i="39" s="1"/>
  <c r="E11" i="39" s="1"/>
  <c r="D158" i="37"/>
  <c r="S26" i="38"/>
  <c r="S9" i="38"/>
  <c r="S30" i="38"/>
  <c r="S50" i="44"/>
  <c r="S9" i="6"/>
  <c r="J382" i="5"/>
  <c r="J356" i="5"/>
  <c r="J400" i="5"/>
  <c r="J374" i="5"/>
  <c r="J370" i="5"/>
  <c r="J396" i="5"/>
  <c r="G13" i="5"/>
  <c r="I210" i="5"/>
  <c r="I212" i="5"/>
  <c r="W23" i="40"/>
  <c r="P23" i="40"/>
  <c r="X3" i="40"/>
  <c r="Q3" i="40"/>
  <c r="Q36" i="6"/>
  <c r="S36" i="6" s="1"/>
  <c r="H302" i="5"/>
  <c r="Q42" i="6"/>
  <c r="H308" i="5"/>
  <c r="H365" i="5"/>
  <c r="H391" i="5"/>
  <c r="H360" i="5"/>
  <c r="H386" i="5"/>
  <c r="H393" i="5"/>
  <c r="H367" i="5"/>
  <c r="S44" i="38"/>
  <c r="S42" i="44"/>
  <c r="S52" i="44"/>
  <c r="F69" i="1"/>
  <c r="F70" i="1"/>
  <c r="I204" i="1"/>
  <c r="F303" i="37"/>
  <c r="X8" i="40"/>
  <c r="Q8" i="40"/>
  <c r="S54" i="44"/>
  <c r="J10" i="36"/>
  <c r="H387" i="33"/>
  <c r="H361" i="33"/>
  <c r="S9" i="34"/>
  <c r="J381" i="5"/>
  <c r="J355" i="5"/>
  <c r="Q52" i="6"/>
  <c r="H318" i="5"/>
  <c r="H389" i="5"/>
  <c r="H363" i="5"/>
  <c r="L178" i="33"/>
  <c r="K219" i="33" s="1"/>
  <c r="K249" i="33" s="1"/>
  <c r="F179" i="33"/>
  <c r="Q9" i="40"/>
  <c r="X9" i="40"/>
  <c r="Q7" i="36"/>
  <c r="X7" i="36"/>
  <c r="S30" i="34"/>
  <c r="R31" i="34"/>
  <c r="R13" i="34"/>
  <c r="R26" i="34"/>
  <c r="S39" i="34"/>
  <c r="P16" i="40"/>
  <c r="W16" i="40"/>
  <c r="G14" i="37"/>
  <c r="I205" i="37" s="1"/>
  <c r="J343" i="37"/>
  <c r="J334" i="37"/>
  <c r="J346" i="37"/>
  <c r="J344" i="37"/>
  <c r="J329" i="37"/>
  <c r="J347" i="37"/>
  <c r="J328" i="37"/>
  <c r="J337" i="37"/>
  <c r="J342" i="37"/>
  <c r="J333" i="37"/>
  <c r="J330" i="37"/>
  <c r="I213" i="37"/>
  <c r="J349" i="37"/>
  <c r="J340" i="37"/>
  <c r="J341" i="37"/>
  <c r="I211" i="37"/>
  <c r="J336" i="37"/>
  <c r="J332" i="37"/>
  <c r="J350" i="37"/>
  <c r="J335" i="37"/>
  <c r="J339" i="37"/>
  <c r="J338" i="37"/>
  <c r="J331" i="37"/>
  <c r="J348" i="37"/>
  <c r="R19" i="38"/>
  <c r="R21" i="38"/>
  <c r="R29" i="38"/>
  <c r="J9" i="36"/>
  <c r="H386" i="33"/>
  <c r="H360" i="33"/>
  <c r="H397" i="33"/>
  <c r="J20" i="36"/>
  <c r="H371" i="33"/>
  <c r="P14" i="40"/>
  <c r="W14" i="40"/>
  <c r="S19" i="44"/>
  <c r="S15" i="34"/>
  <c r="S37" i="38"/>
  <c r="S58" i="38"/>
  <c r="K179" i="33"/>
  <c r="I220" i="33" s="1"/>
  <c r="I250" i="33" s="1"/>
  <c r="E180" i="33"/>
  <c r="S36" i="2"/>
  <c r="S60" i="2" s="1"/>
  <c r="S61" i="2" s="1"/>
  <c r="R32" i="6"/>
  <c r="R35" i="6"/>
  <c r="R59" i="6" s="1"/>
  <c r="J389" i="5"/>
  <c r="J363" i="5"/>
  <c r="J375" i="5"/>
  <c r="J401" i="5"/>
  <c r="J388" i="5"/>
  <c r="J362" i="5"/>
  <c r="K86" i="5"/>
  <c r="K88" i="5"/>
  <c r="K89" i="5"/>
  <c r="R205" i="34"/>
  <c r="S205" i="34" s="1"/>
  <c r="R158" i="34"/>
  <c r="S158" i="34" s="1"/>
  <c r="X14" i="40"/>
  <c r="Q14" i="40"/>
  <c r="Q46" i="6"/>
  <c r="S46" i="6" s="1"/>
  <c r="H312" i="5"/>
  <c r="Q50" i="6"/>
  <c r="S50" i="6" s="1"/>
  <c r="H316" i="5"/>
  <c r="H383" i="5"/>
  <c r="H357" i="5"/>
  <c r="H397" i="5"/>
  <c r="H371" i="5"/>
  <c r="H403" i="5"/>
  <c r="H377" i="5"/>
  <c r="S40" i="44"/>
  <c r="X16" i="40"/>
  <c r="Q16" i="40"/>
  <c r="S19" i="34"/>
  <c r="W10" i="40"/>
  <c r="P10" i="40"/>
  <c r="S159" i="34"/>
  <c r="X24" i="40"/>
  <c r="Q24" i="40"/>
  <c r="R59" i="38"/>
  <c r="S59" i="38" s="1"/>
  <c r="S31" i="38"/>
  <c r="J387" i="5"/>
  <c r="J361" i="5"/>
  <c r="W13" i="40"/>
  <c r="P13" i="40"/>
  <c r="Q40" i="6"/>
  <c r="S40" i="6" s="1"/>
  <c r="H306" i="5"/>
  <c r="H396" i="5"/>
  <c r="H370" i="5"/>
  <c r="W21" i="40"/>
  <c r="P21" i="40"/>
  <c r="S8" i="34"/>
  <c r="Q17" i="40"/>
  <c r="X17" i="40"/>
  <c r="R205" i="38"/>
  <c r="S205" i="38" s="1"/>
  <c r="R158" i="38"/>
  <c r="S158" i="38" s="1"/>
  <c r="S159" i="38"/>
  <c r="P60" i="38"/>
  <c r="P61" i="38" s="1"/>
  <c r="W9" i="40"/>
  <c r="P9" i="40"/>
  <c r="X5" i="40"/>
  <c r="Q5" i="40"/>
  <c r="R50" i="38"/>
  <c r="S50" i="38" s="1"/>
  <c r="S22" i="38"/>
  <c r="I204" i="37"/>
  <c r="R42" i="38"/>
  <c r="S42" i="38" s="1"/>
  <c r="S14" i="38"/>
  <c r="J19" i="36"/>
  <c r="H370" i="33"/>
  <c r="H396" i="33"/>
  <c r="H376" i="33"/>
  <c r="H402" i="33"/>
  <c r="J25" i="36"/>
  <c r="K56" i="33"/>
  <c r="F64" i="33"/>
  <c r="S22" i="34"/>
  <c r="S11" i="38"/>
  <c r="X21" i="40"/>
  <c r="Q21" i="40"/>
  <c r="S46" i="44"/>
  <c r="X7" i="40"/>
  <c r="Q7" i="40"/>
  <c r="S42" i="6"/>
  <c r="S37" i="34"/>
  <c r="J390" i="5"/>
  <c r="J364" i="5"/>
  <c r="J402" i="5"/>
  <c r="J376" i="5"/>
  <c r="Q32" i="44"/>
  <c r="Q35" i="44"/>
  <c r="Q59" i="44" s="1"/>
  <c r="Q53" i="6"/>
  <c r="H319" i="5"/>
  <c r="Q38" i="6"/>
  <c r="S38" i="6" s="1"/>
  <c r="H304" i="5"/>
  <c r="Q37" i="6"/>
  <c r="S37" i="6" s="1"/>
  <c r="H303" i="5"/>
  <c r="H380" i="5"/>
  <c r="H354" i="5"/>
  <c r="H381" i="5"/>
  <c r="H355" i="5"/>
  <c r="H376" i="5"/>
  <c r="H402" i="5"/>
  <c r="I86" i="5"/>
  <c r="I88" i="5"/>
  <c r="I89" i="5"/>
  <c r="S16" i="44"/>
  <c r="Q6" i="36"/>
  <c r="X6" i="36"/>
  <c r="S10" i="44"/>
  <c r="S16" i="34"/>
  <c r="S58" i="34"/>
  <c r="W15" i="40"/>
  <c r="P15" i="40"/>
  <c r="B306" i="33"/>
  <c r="B280" i="33"/>
  <c r="L178" i="37"/>
  <c r="K219" i="37" s="1"/>
  <c r="K249" i="37" s="1"/>
  <c r="F179" i="37"/>
  <c r="P22" i="40"/>
  <c r="W22" i="40"/>
  <c r="J391" i="5"/>
  <c r="J365" i="5"/>
  <c r="X25" i="40"/>
  <c r="Q25" i="40"/>
  <c r="Q60" i="34"/>
  <c r="Q61" i="34" s="1"/>
  <c r="S36" i="34"/>
  <c r="C122" i="1"/>
  <c r="D122" i="1"/>
  <c r="H105" i="1"/>
  <c r="E122" i="1"/>
  <c r="F122" i="1"/>
  <c r="C140" i="1"/>
  <c r="H140" i="1" s="1"/>
  <c r="G122" i="1"/>
  <c r="P7" i="40"/>
  <c r="W7" i="40"/>
  <c r="X11" i="40"/>
  <c r="Q11" i="40"/>
  <c r="C8" i="39"/>
  <c r="C11" i="39" s="1"/>
  <c r="P59" i="44"/>
  <c r="Q16" i="36"/>
  <c r="X16" i="36"/>
  <c r="R41" i="38"/>
  <c r="S41" i="38" s="1"/>
  <c r="S13" i="38"/>
  <c r="J14" i="36"/>
  <c r="H391" i="33"/>
  <c r="H365" i="33"/>
  <c r="S28" i="34"/>
  <c r="P20" i="40"/>
  <c r="W20" i="40"/>
  <c r="Q15" i="40"/>
  <c r="X15" i="40"/>
  <c r="S11" i="44"/>
  <c r="S43" i="34"/>
  <c r="P18" i="40"/>
  <c r="W18" i="40"/>
  <c r="S12" i="34"/>
  <c r="S27" i="38"/>
  <c r="J397" i="5"/>
  <c r="J371" i="5"/>
  <c r="J392" i="5"/>
  <c r="J366" i="5"/>
  <c r="J380" i="5"/>
  <c r="J354" i="5"/>
  <c r="P26" i="40"/>
  <c r="W26" i="40"/>
  <c r="P208" i="34"/>
  <c r="Q55" i="6"/>
  <c r="S55" i="6" s="1"/>
  <c r="H321" i="5"/>
  <c r="Q41" i="6"/>
  <c r="H307" i="5"/>
  <c r="Q45" i="6"/>
  <c r="H311" i="5"/>
  <c r="H400" i="5"/>
  <c r="H374" i="5"/>
  <c r="H356" i="5"/>
  <c r="H382" i="5"/>
  <c r="H399" i="5"/>
  <c r="H373" i="5"/>
  <c r="C184" i="33"/>
  <c r="I183" i="33"/>
  <c r="E224" i="33" s="1"/>
  <c r="E254" i="33" s="1"/>
  <c r="S25" i="6"/>
  <c r="S43" i="44"/>
  <c r="S17" i="38"/>
  <c r="S47" i="34"/>
  <c r="K56" i="37"/>
  <c r="F69" i="37" s="1"/>
  <c r="F64" i="37"/>
  <c r="S20" i="38"/>
  <c r="S18" i="6"/>
  <c r="S41" i="6"/>
  <c r="S37" i="44"/>
  <c r="S20" i="34"/>
  <c r="P3" i="40"/>
  <c r="W3" i="40"/>
  <c r="X19" i="40"/>
  <c r="Q19" i="40"/>
  <c r="J359" i="5"/>
  <c r="J385" i="5"/>
  <c r="Q39" i="6"/>
  <c r="S39" i="6" s="1"/>
  <c r="H305" i="5"/>
  <c r="H385" i="5"/>
  <c r="H359" i="5"/>
  <c r="E247" i="5"/>
  <c r="C68" i="5"/>
  <c r="I9" i="35"/>
  <c r="I10" i="35"/>
  <c r="I6" i="35"/>
  <c r="X10" i="40"/>
  <c r="Q10" i="40"/>
  <c r="X26" i="36"/>
  <c r="Q26" i="36"/>
  <c r="S31" i="44"/>
  <c r="S18" i="34"/>
  <c r="S52" i="34"/>
  <c r="G14" i="33"/>
  <c r="I205" i="33" s="1"/>
  <c r="J331" i="33"/>
  <c r="J339" i="33"/>
  <c r="J336" i="33"/>
  <c r="J328" i="33"/>
  <c r="J330" i="33"/>
  <c r="J340" i="33"/>
  <c r="J351" i="33"/>
  <c r="J346" i="33"/>
  <c r="J344" i="33"/>
  <c r="J350" i="33"/>
  <c r="J347" i="33"/>
  <c r="J337" i="33"/>
  <c r="J335" i="33"/>
  <c r="J348" i="33"/>
  <c r="J341" i="33"/>
  <c r="J332" i="33"/>
  <c r="J343" i="33"/>
  <c r="J345" i="33"/>
  <c r="J329" i="33"/>
  <c r="J338" i="33"/>
  <c r="J349" i="33"/>
  <c r="J334" i="33"/>
  <c r="J342" i="33"/>
  <c r="J333" i="33"/>
  <c r="R25" i="34"/>
  <c r="R29" i="34"/>
  <c r="R23" i="34"/>
  <c r="D182" i="33"/>
  <c r="J181" i="33"/>
  <c r="G222" i="33" s="1"/>
  <c r="G252" i="33" s="1"/>
  <c r="S21" i="34"/>
  <c r="X12" i="40"/>
  <c r="Q12" i="40"/>
  <c r="P60" i="44"/>
  <c r="P135" i="44" s="1"/>
  <c r="R56" i="38"/>
  <c r="S56" i="38" s="1"/>
  <c r="S28" i="38"/>
  <c r="R15" i="38"/>
  <c r="R8" i="38"/>
  <c r="R10" i="38"/>
  <c r="H369" i="33"/>
  <c r="H395" i="33"/>
  <c r="J18" i="36"/>
  <c r="J15" i="36"/>
  <c r="H392" i="33"/>
  <c r="H366" i="33"/>
  <c r="S12" i="6"/>
  <c r="S50" i="34"/>
  <c r="W4" i="40"/>
  <c r="P4" i="40"/>
  <c r="S39" i="38"/>
  <c r="S38" i="44"/>
  <c r="S17" i="34"/>
  <c r="W5" i="40"/>
  <c r="P5" i="40"/>
  <c r="S12" i="44"/>
  <c r="D305" i="37"/>
  <c r="D279" i="37"/>
  <c r="J383" i="5"/>
  <c r="J357" i="5"/>
  <c r="J403" i="5"/>
  <c r="J377" i="5"/>
  <c r="J394" i="5"/>
  <c r="J368" i="5"/>
  <c r="Q13" i="36"/>
  <c r="X13" i="36"/>
  <c r="Q4" i="40"/>
  <c r="X4" i="40"/>
  <c r="P210" i="34"/>
  <c r="P211" i="34" s="1"/>
  <c r="P206" i="34"/>
  <c r="E158" i="33"/>
  <c r="E159" i="33"/>
  <c r="Q47" i="6"/>
  <c r="S47" i="6" s="1"/>
  <c r="H313" i="5"/>
  <c r="Q49" i="6"/>
  <c r="S49" i="6" s="1"/>
  <c r="H315" i="5"/>
  <c r="Q48" i="6"/>
  <c r="S48" i="6" s="1"/>
  <c r="H314" i="5"/>
  <c r="Q57" i="6"/>
  <c r="S57" i="6" s="1"/>
  <c r="H323" i="5"/>
  <c r="H392" i="5"/>
  <c r="H366" i="5"/>
  <c r="H358" i="5"/>
  <c r="H384" i="5"/>
  <c r="H395" i="5"/>
  <c r="H369" i="5"/>
  <c r="F13" i="5"/>
  <c r="H212" i="5"/>
  <c r="H210" i="5"/>
  <c r="D306" i="33"/>
  <c r="D280" i="33"/>
  <c r="S26" i="6"/>
  <c r="P25" i="40"/>
  <c r="W25" i="40"/>
  <c r="X22" i="40"/>
  <c r="Q22" i="40"/>
  <c r="J5" i="39"/>
  <c r="K5" i="39"/>
  <c r="J99" i="37"/>
  <c r="J8" i="39"/>
  <c r="J6" i="39"/>
  <c r="J7" i="39"/>
  <c r="S44" i="34"/>
  <c r="S25" i="38"/>
  <c r="H277" i="37"/>
  <c r="H275" i="37"/>
  <c r="H276" i="37"/>
  <c r="H301" i="37"/>
  <c r="P59" i="6"/>
  <c r="P60" i="6" s="1"/>
  <c r="P135" i="6" s="1"/>
  <c r="C183" i="37"/>
  <c r="I182" i="37"/>
  <c r="E223" i="37" s="1"/>
  <c r="E253" i="37" s="1"/>
  <c r="S40" i="34"/>
  <c r="S55" i="38"/>
  <c r="R32" i="44"/>
  <c r="R35" i="44"/>
  <c r="R59" i="44" s="1"/>
  <c r="J395" i="5"/>
  <c r="J369" i="5"/>
  <c r="J393" i="5"/>
  <c r="J367" i="5"/>
  <c r="J399" i="5"/>
  <c r="J373" i="5"/>
  <c r="Q44" i="6"/>
  <c r="S44" i="6" s="1"/>
  <c r="H310" i="5"/>
  <c r="Q56" i="6"/>
  <c r="S56" i="6" s="1"/>
  <c r="H322" i="5"/>
  <c r="Q54" i="6"/>
  <c r="S54" i="6" s="1"/>
  <c r="H320" i="5"/>
  <c r="Q43" i="6"/>
  <c r="S43" i="6" s="1"/>
  <c r="H309" i="5"/>
  <c r="H394" i="5"/>
  <c r="H368" i="5"/>
  <c r="H401" i="5"/>
  <c r="H375" i="5"/>
  <c r="H387" i="5"/>
  <c r="H361" i="5"/>
  <c r="S16" i="38"/>
  <c r="S52" i="6"/>
  <c r="S45" i="38"/>
  <c r="I247" i="33"/>
  <c r="E68" i="33"/>
  <c r="S48" i="38"/>
  <c r="S45" i="6"/>
  <c r="S48" i="34"/>
  <c r="P8" i="40"/>
  <c r="W8" i="40"/>
  <c r="J3" i="36"/>
  <c r="H354" i="33"/>
  <c r="H380" i="33"/>
  <c r="S24" i="38"/>
  <c r="F277" i="37"/>
  <c r="F276" i="37"/>
  <c r="F275" i="37"/>
  <c r="F301" i="37"/>
  <c r="W12" i="40"/>
  <c r="P12" i="40"/>
  <c r="J8" i="36"/>
  <c r="H359" i="33"/>
  <c r="H385" i="33"/>
  <c r="W11" i="40"/>
  <c r="P11" i="40"/>
  <c r="K20" i="40"/>
  <c r="J371" i="37"/>
  <c r="J397" i="37"/>
  <c r="S49" i="34"/>
  <c r="S30" i="44"/>
  <c r="K180" i="37"/>
  <c r="I221" i="37" s="1"/>
  <c r="I251" i="37" s="1"/>
  <c r="H304" i="37" s="1"/>
  <c r="E181" i="37"/>
  <c r="C7" i="39"/>
  <c r="H375" i="33"/>
  <c r="H401" i="33"/>
  <c r="J24" i="36"/>
  <c r="H381" i="33"/>
  <c r="J4" i="36"/>
  <c r="H355" i="33"/>
  <c r="J12" i="36"/>
  <c r="H389" i="33"/>
  <c r="H363" i="33"/>
  <c r="S10" i="34"/>
  <c r="J99" i="33"/>
  <c r="J7" i="35"/>
  <c r="K5" i="35"/>
  <c r="J5" i="35"/>
  <c r="J6" i="35"/>
  <c r="J8" i="35"/>
  <c r="W17" i="40"/>
  <c r="P17" i="40"/>
  <c r="Q26" i="40"/>
  <c r="X26" i="40"/>
  <c r="S45" i="34"/>
  <c r="W6" i="40"/>
  <c r="P6" i="40"/>
  <c r="X6" i="40"/>
  <c r="Q6" i="40"/>
  <c r="S23" i="44"/>
  <c r="S27" i="34"/>
  <c r="J398" i="5"/>
  <c r="J372" i="5"/>
  <c r="J384" i="5"/>
  <c r="J358" i="5"/>
  <c r="J386" i="5"/>
  <c r="J360" i="5"/>
  <c r="S23" i="38"/>
  <c r="Q51" i="6"/>
  <c r="S51" i="6" s="1"/>
  <c r="H317" i="5"/>
  <c r="Q32" i="6"/>
  <c r="Q35" i="6"/>
  <c r="H301" i="5"/>
  <c r="Q58" i="6"/>
  <c r="S58" i="6" s="1"/>
  <c r="H324" i="5"/>
  <c r="H388" i="5"/>
  <c r="H362" i="5"/>
  <c r="H372" i="5"/>
  <c r="H398" i="5"/>
  <c r="H390" i="5"/>
  <c r="H364" i="5"/>
  <c r="S15" i="44"/>
  <c r="S25" i="44"/>
  <c r="J180" i="37"/>
  <c r="G221" i="37" s="1"/>
  <c r="G251" i="37" s="1"/>
  <c r="F304" i="37" s="1"/>
  <c r="D181" i="37"/>
  <c r="S53" i="6"/>
  <c r="S19" i="6"/>
  <c r="S14" i="34"/>
  <c r="S27" i="44"/>
  <c r="O137" i="6"/>
  <c r="S137" i="6" s="1"/>
  <c r="S138" i="6" s="1"/>
  <c r="D158" i="5"/>
  <c r="D159" i="5"/>
  <c r="S35" i="6" l="1"/>
  <c r="S59" i="6" s="1"/>
  <c r="S60" i="6" s="1"/>
  <c r="S32" i="6"/>
  <c r="S32" i="44"/>
  <c r="O138" i="6"/>
  <c r="O124" i="2" s="1"/>
  <c r="R60" i="44"/>
  <c r="R135" i="44" s="1"/>
  <c r="O162" i="2"/>
  <c r="S162" i="2" s="1"/>
  <c r="E247" i="1"/>
  <c r="C68" i="1"/>
  <c r="O159" i="2"/>
  <c r="S159" i="2" s="1"/>
  <c r="O163" i="2"/>
  <c r="S163" i="2" s="1"/>
  <c r="S157" i="2"/>
  <c r="R204" i="2"/>
  <c r="O211" i="38"/>
  <c r="F157" i="37"/>
  <c r="Q208" i="38" s="1"/>
  <c r="I7" i="39" s="1"/>
  <c r="R32" i="34"/>
  <c r="J371" i="33"/>
  <c r="J397" i="33"/>
  <c r="K20" i="36"/>
  <c r="P137" i="6"/>
  <c r="P138" i="6" s="1"/>
  <c r="K6" i="35"/>
  <c r="K9" i="35"/>
  <c r="K10" i="35"/>
  <c r="X12" i="36"/>
  <c r="Q12" i="36"/>
  <c r="Y20" i="40"/>
  <c r="R20" i="40"/>
  <c r="E69" i="5"/>
  <c r="E70" i="5" s="1"/>
  <c r="H204" i="5"/>
  <c r="X18" i="36"/>
  <c r="Q18" i="36"/>
  <c r="P137" i="44"/>
  <c r="P138" i="44" s="1"/>
  <c r="R51" i="34"/>
  <c r="S51" i="34" s="1"/>
  <c r="S23" i="34"/>
  <c r="J381" i="33"/>
  <c r="J355" i="33"/>
  <c r="K4" i="36"/>
  <c r="J373" i="33"/>
  <c r="K22" i="36"/>
  <c r="J399" i="33"/>
  <c r="J388" i="33"/>
  <c r="K11" i="36"/>
  <c r="J362" i="33"/>
  <c r="X14" i="36"/>
  <c r="Q14" i="36"/>
  <c r="R47" i="38"/>
  <c r="S47" i="38" s="1"/>
  <c r="S19" i="38"/>
  <c r="J362" i="37"/>
  <c r="J388" i="37"/>
  <c r="K11" i="40"/>
  <c r="J368" i="37"/>
  <c r="K17" i="40"/>
  <c r="J394" i="37"/>
  <c r="K18" i="40"/>
  <c r="J395" i="37"/>
  <c r="J369" i="37"/>
  <c r="R59" i="34"/>
  <c r="S59" i="34" s="1"/>
  <c r="S31" i="34"/>
  <c r="F69" i="5"/>
  <c r="F70" i="5"/>
  <c r="I204" i="5"/>
  <c r="X11" i="36"/>
  <c r="Q11" i="36"/>
  <c r="X22" i="36"/>
  <c r="Q22" i="36"/>
  <c r="R57" i="34"/>
  <c r="S57" i="34" s="1"/>
  <c r="S29" i="34"/>
  <c r="Q20" i="36"/>
  <c r="X20" i="36"/>
  <c r="Q210" i="38"/>
  <c r="I8" i="39" s="1"/>
  <c r="I11" i="39" s="1"/>
  <c r="Q206" i="38"/>
  <c r="F158" i="37"/>
  <c r="F159" i="37"/>
  <c r="Q4" i="36"/>
  <c r="X4" i="36"/>
  <c r="D306" i="37"/>
  <c r="D280" i="37"/>
  <c r="R53" i="34"/>
  <c r="S53" i="34" s="1"/>
  <c r="S25" i="34"/>
  <c r="K18" i="36"/>
  <c r="J395" i="33"/>
  <c r="J369" i="33"/>
  <c r="K19" i="36"/>
  <c r="J396" i="33"/>
  <c r="J370" i="33"/>
  <c r="J357" i="33"/>
  <c r="K6" i="36"/>
  <c r="J383" i="33"/>
  <c r="G7" i="35"/>
  <c r="X25" i="36"/>
  <c r="Q25" i="36"/>
  <c r="K6" i="40"/>
  <c r="J357" i="37"/>
  <c r="J383" i="37"/>
  <c r="J367" i="37"/>
  <c r="J393" i="37"/>
  <c r="K16" i="40"/>
  <c r="J380" i="37"/>
  <c r="J354" i="37"/>
  <c r="K3" i="40"/>
  <c r="X10" i="36"/>
  <c r="Q10" i="36"/>
  <c r="H184" i="33"/>
  <c r="C225" i="33" s="1"/>
  <c r="C255" i="33" s="1"/>
  <c r="B185" i="33"/>
  <c r="K181" i="37"/>
  <c r="I222" i="37" s="1"/>
  <c r="I252" i="37" s="1"/>
  <c r="E182" i="37"/>
  <c r="K25" i="36"/>
  <c r="J402" i="33"/>
  <c r="J376" i="33"/>
  <c r="K23" i="40"/>
  <c r="J400" i="37"/>
  <c r="J374" i="37"/>
  <c r="O139" i="2"/>
  <c r="D104" i="1"/>
  <c r="D139" i="1" s="1"/>
  <c r="D154" i="1" s="1"/>
  <c r="C184" i="37"/>
  <c r="I183" i="37"/>
  <c r="E224" i="37" s="1"/>
  <c r="E254" i="37" s="1"/>
  <c r="R38" i="38"/>
  <c r="S38" i="38" s="1"/>
  <c r="S10" i="38"/>
  <c r="J359" i="33"/>
  <c r="K8" i="36"/>
  <c r="J385" i="33"/>
  <c r="J384" i="33"/>
  <c r="K7" i="36"/>
  <c r="J358" i="33"/>
  <c r="K21" i="36"/>
  <c r="J398" i="33"/>
  <c r="J372" i="33"/>
  <c r="D307" i="33"/>
  <c r="D281" i="33"/>
  <c r="H122" i="1"/>
  <c r="R60" i="6"/>
  <c r="R135" i="6" s="1"/>
  <c r="K13" i="40"/>
  <c r="J364" i="37"/>
  <c r="J390" i="37"/>
  <c r="K15" i="40"/>
  <c r="J392" i="37"/>
  <c r="J366" i="37"/>
  <c r="K22" i="40"/>
  <c r="J373" i="37"/>
  <c r="J399" i="37"/>
  <c r="B307" i="33"/>
  <c r="B281" i="33"/>
  <c r="Y26" i="40"/>
  <c r="R26" i="40"/>
  <c r="S124" i="2"/>
  <c r="S139" i="2" s="1"/>
  <c r="S152" i="2" s="1"/>
  <c r="J363" i="37"/>
  <c r="J389" i="37"/>
  <c r="K12" i="40"/>
  <c r="X24" i="36"/>
  <c r="Q24" i="36"/>
  <c r="H278" i="37"/>
  <c r="G8" i="35"/>
  <c r="G11" i="35" s="1"/>
  <c r="P207" i="38"/>
  <c r="E157" i="37"/>
  <c r="R32" i="38"/>
  <c r="R36" i="38"/>
  <c r="S8" i="38"/>
  <c r="J368" i="33"/>
  <c r="K17" i="36"/>
  <c r="J394" i="33"/>
  <c r="J367" i="33"/>
  <c r="K16" i="36"/>
  <c r="J393" i="33"/>
  <c r="J403" i="33"/>
  <c r="K26" i="36"/>
  <c r="J377" i="33"/>
  <c r="D275" i="5"/>
  <c r="D280" i="5"/>
  <c r="D288" i="5"/>
  <c r="D298" i="5"/>
  <c r="D310" i="5"/>
  <c r="D322" i="5"/>
  <c r="D323" i="5"/>
  <c r="D311" i="5"/>
  <c r="D286" i="5"/>
  <c r="D307" i="5"/>
  <c r="D277" i="5"/>
  <c r="D282" i="5"/>
  <c r="D294" i="5"/>
  <c r="D292" i="5"/>
  <c r="D302" i="5"/>
  <c r="D276" i="5"/>
  <c r="D281" i="5"/>
  <c r="D290" i="5"/>
  <c r="D304" i="5"/>
  <c r="D312" i="5"/>
  <c r="D321" i="5"/>
  <c r="D317" i="5"/>
  <c r="D315" i="5"/>
  <c r="D301" i="5"/>
  <c r="D287" i="5"/>
  <c r="D291" i="5"/>
  <c r="D305" i="5"/>
  <c r="D303" i="5"/>
  <c r="D319" i="5"/>
  <c r="D278" i="5"/>
  <c r="D289" i="5"/>
  <c r="D285" i="5"/>
  <c r="D279" i="5"/>
  <c r="D295" i="5"/>
  <c r="D296" i="5"/>
  <c r="D316" i="5"/>
  <c r="D318" i="5"/>
  <c r="D306" i="5"/>
  <c r="D314" i="5"/>
  <c r="D324" i="5"/>
  <c r="D313" i="5"/>
  <c r="D309" i="5"/>
  <c r="D320" i="5"/>
  <c r="D284" i="5"/>
  <c r="D283" i="5"/>
  <c r="D297" i="5"/>
  <c r="D293" i="5"/>
  <c r="D308" i="5"/>
  <c r="C185" i="33"/>
  <c r="I184" i="33"/>
  <c r="E225" i="33" s="1"/>
  <c r="E255" i="33" s="1"/>
  <c r="Q60" i="44"/>
  <c r="Q135" i="44" s="1"/>
  <c r="J365" i="37"/>
  <c r="K14" i="40"/>
  <c r="J391" i="37"/>
  <c r="J401" i="37"/>
  <c r="J375" i="37"/>
  <c r="K24" i="40"/>
  <c r="J381" i="37"/>
  <c r="J355" i="37"/>
  <c r="K4" i="40"/>
  <c r="N152" i="2"/>
  <c r="N204" i="2"/>
  <c r="K9" i="39"/>
  <c r="K10" i="39" s="1"/>
  <c r="K6" i="39"/>
  <c r="R43" i="38"/>
  <c r="S43" i="38" s="1"/>
  <c r="S15" i="38"/>
  <c r="F305" i="33"/>
  <c r="F279" i="33"/>
  <c r="K9" i="36"/>
  <c r="J386" i="33"/>
  <c r="J360" i="33"/>
  <c r="J374" i="33"/>
  <c r="K23" i="36"/>
  <c r="J400" i="33"/>
  <c r="J366" i="33"/>
  <c r="K15" i="36"/>
  <c r="J392" i="33"/>
  <c r="S35" i="44"/>
  <c r="S59" i="44" s="1"/>
  <c r="S60" i="44" s="1"/>
  <c r="X9" i="36"/>
  <c r="Q9" i="36"/>
  <c r="K10" i="40"/>
  <c r="J387" i="37"/>
  <c r="J361" i="37"/>
  <c r="K19" i="40"/>
  <c r="J396" i="37"/>
  <c r="J370" i="37"/>
  <c r="X5" i="36"/>
  <c r="Q5" i="36"/>
  <c r="C139" i="1"/>
  <c r="E121" i="1"/>
  <c r="E136" i="1" s="1"/>
  <c r="H104" i="1"/>
  <c r="G121" i="1"/>
  <c r="G136" i="1" s="1"/>
  <c r="F121" i="1"/>
  <c r="F136" i="1" s="1"/>
  <c r="C121" i="1"/>
  <c r="D121" i="1"/>
  <c r="D136" i="1" s="1"/>
  <c r="D157" i="1" s="1"/>
  <c r="D182" i="37"/>
  <c r="J181" i="37"/>
  <c r="G222" i="37" s="1"/>
  <c r="G252" i="37" s="1"/>
  <c r="J365" i="33"/>
  <c r="J391" i="33"/>
  <c r="K14" i="36"/>
  <c r="Q8" i="36"/>
  <c r="X8" i="36"/>
  <c r="Q59" i="6"/>
  <c r="Q60" i="6" s="1"/>
  <c r="Q135" i="6" s="1"/>
  <c r="H277" i="33"/>
  <c r="H276" i="33"/>
  <c r="H275" i="33"/>
  <c r="H278" i="33"/>
  <c r="H301" i="33"/>
  <c r="D183" i="33"/>
  <c r="J182" i="33"/>
  <c r="G223" i="33" s="1"/>
  <c r="G253" i="33" s="1"/>
  <c r="J375" i="33"/>
  <c r="J401" i="33"/>
  <c r="K24" i="36"/>
  <c r="K10" i="36"/>
  <c r="J361" i="33"/>
  <c r="J387" i="33"/>
  <c r="J356" i="33"/>
  <c r="J382" i="33"/>
  <c r="K5" i="36"/>
  <c r="K247" i="37"/>
  <c r="F68" i="37"/>
  <c r="F70" i="37" s="1"/>
  <c r="F180" i="37"/>
  <c r="L179" i="37"/>
  <c r="K220" i="37" s="1"/>
  <c r="K250" i="37" s="1"/>
  <c r="K247" i="33"/>
  <c r="F68" i="33"/>
  <c r="F70" i="33" s="1"/>
  <c r="E181" i="33"/>
  <c r="K180" i="33"/>
  <c r="I221" i="33" s="1"/>
  <c r="I251" i="33" s="1"/>
  <c r="H304" i="33" s="1"/>
  <c r="R57" i="38"/>
  <c r="S57" i="38" s="1"/>
  <c r="S29" i="38"/>
  <c r="J402" i="37"/>
  <c r="K25" i="40"/>
  <c r="J376" i="37"/>
  <c r="J356" i="37"/>
  <c r="J382" i="37"/>
  <c r="K5" i="40"/>
  <c r="K21" i="40"/>
  <c r="J372" i="37"/>
  <c r="J398" i="37"/>
  <c r="R54" i="34"/>
  <c r="S54" i="34" s="1"/>
  <c r="S26" i="34"/>
  <c r="H302" i="33"/>
  <c r="F278" i="37"/>
  <c r="X3" i="36"/>
  <c r="Q3" i="36"/>
  <c r="R137" i="44"/>
  <c r="R138" i="44" s="1"/>
  <c r="X15" i="36"/>
  <c r="Q15" i="36"/>
  <c r="Q207" i="34"/>
  <c r="F157" i="33"/>
  <c r="J390" i="33"/>
  <c r="J364" i="33"/>
  <c r="K13" i="36"/>
  <c r="J389" i="33"/>
  <c r="K12" i="36"/>
  <c r="J363" i="33"/>
  <c r="K3" i="36"/>
  <c r="J380" i="33"/>
  <c r="J354" i="33"/>
  <c r="Q19" i="36"/>
  <c r="X19" i="36"/>
  <c r="H303" i="33"/>
  <c r="R49" i="38"/>
  <c r="S49" i="38" s="1"/>
  <c r="S21" i="38"/>
  <c r="K7" i="40"/>
  <c r="J384" i="37"/>
  <c r="J358" i="37"/>
  <c r="K8" i="40"/>
  <c r="J359" i="37"/>
  <c r="J385" i="37"/>
  <c r="J386" i="37"/>
  <c r="J360" i="37"/>
  <c r="K9" i="40"/>
  <c r="R41" i="34"/>
  <c r="S41" i="34" s="1"/>
  <c r="S13" i="34"/>
  <c r="L179" i="33"/>
  <c r="K220" i="33" s="1"/>
  <c r="K250" i="33" s="1"/>
  <c r="F180" i="33"/>
  <c r="Q17" i="36"/>
  <c r="X17" i="36"/>
  <c r="Q23" i="36"/>
  <c r="X23" i="36"/>
  <c r="O203" i="2" l="1"/>
  <c r="S203" i="2" s="1"/>
  <c r="O156" i="2"/>
  <c r="S156" i="2" s="1"/>
  <c r="D283" i="1"/>
  <c r="D297" i="1"/>
  <c r="D286" i="1"/>
  <c r="D323" i="1"/>
  <c r="D318" i="1"/>
  <c r="D315" i="1"/>
  <c r="D295" i="1"/>
  <c r="D294" i="1"/>
  <c r="D289" i="1"/>
  <c r="D317" i="1"/>
  <c r="D322" i="1"/>
  <c r="D303" i="1"/>
  <c r="D310" i="1"/>
  <c r="D292" i="1"/>
  <c r="D287" i="1"/>
  <c r="D291" i="1"/>
  <c r="D307" i="1"/>
  <c r="D319" i="1"/>
  <c r="D302" i="1"/>
  <c r="D313" i="1"/>
  <c r="D276" i="1"/>
  <c r="D281" i="1"/>
  <c r="D290" i="1"/>
  <c r="D311" i="1"/>
  <c r="D304" i="1"/>
  <c r="D312" i="1"/>
  <c r="D293" i="1"/>
  <c r="D280" i="1"/>
  <c r="D285" i="1"/>
  <c r="D308" i="1"/>
  <c r="D306" i="1"/>
  <c r="D301" i="1"/>
  <c r="D277" i="1"/>
  <c r="D309" i="1"/>
  <c r="D288" i="1"/>
  <c r="D282" i="1"/>
  <c r="D296" i="1"/>
  <c r="D305" i="1"/>
  <c r="D314" i="1"/>
  <c r="D320" i="1"/>
  <c r="D298" i="1"/>
  <c r="D278" i="1"/>
  <c r="D275" i="1"/>
  <c r="D284" i="1"/>
  <c r="D321" i="1"/>
  <c r="D324" i="1"/>
  <c r="D316" i="1"/>
  <c r="D279" i="1"/>
  <c r="S32" i="34"/>
  <c r="S60" i="34"/>
  <c r="Q137" i="6"/>
  <c r="Q138" i="6" s="1"/>
  <c r="D184" i="33"/>
  <c r="J183" i="33"/>
  <c r="G224" i="33" s="1"/>
  <c r="G254" i="33" s="1"/>
  <c r="F305" i="37"/>
  <c r="F279" i="37"/>
  <c r="C154" i="1"/>
  <c r="H154" i="1" s="1"/>
  <c r="H139" i="1"/>
  <c r="Y10" i="40"/>
  <c r="R10" i="40"/>
  <c r="Y17" i="36"/>
  <c r="R17" i="36"/>
  <c r="Y4" i="36"/>
  <c r="R4" i="36"/>
  <c r="R12" i="36"/>
  <c r="Y12" i="36"/>
  <c r="J277" i="33"/>
  <c r="J303" i="33" s="1"/>
  <c r="J276" i="33"/>
  <c r="J302" i="33" s="1"/>
  <c r="J275" i="33"/>
  <c r="J301" i="33" s="1"/>
  <c r="J278" i="33"/>
  <c r="J304" i="33" s="1"/>
  <c r="J182" i="37"/>
  <c r="G223" i="37" s="1"/>
  <c r="G253" i="37" s="1"/>
  <c r="D183" i="37"/>
  <c r="R23" i="36"/>
  <c r="Y23" i="36"/>
  <c r="C158" i="1"/>
  <c r="R15" i="40"/>
  <c r="Y15" i="40"/>
  <c r="Y8" i="36"/>
  <c r="R8" i="36"/>
  <c r="O152" i="2"/>
  <c r="E183" i="37"/>
  <c r="K182" i="37"/>
  <c r="I223" i="37" s="1"/>
  <c r="I253" i="37" s="1"/>
  <c r="R19" i="36"/>
  <c r="Y19" i="36"/>
  <c r="R17" i="40"/>
  <c r="Y17" i="40"/>
  <c r="R20" i="36"/>
  <c r="Y20" i="36"/>
  <c r="R25" i="40"/>
  <c r="Y25" i="40"/>
  <c r="Y26" i="36"/>
  <c r="R26" i="36"/>
  <c r="S32" i="38"/>
  <c r="H305" i="37"/>
  <c r="H279" i="37"/>
  <c r="Y16" i="40"/>
  <c r="R16" i="40"/>
  <c r="F181" i="33"/>
  <c r="L180" i="33"/>
  <c r="K221" i="33" s="1"/>
  <c r="K251" i="33" s="1"/>
  <c r="R13" i="36"/>
  <c r="Y13" i="36"/>
  <c r="L180" i="37"/>
  <c r="K221" i="37" s="1"/>
  <c r="K251" i="37" s="1"/>
  <c r="F181" i="37"/>
  <c r="R10" i="36"/>
  <c r="Y10" i="36"/>
  <c r="C136" i="1"/>
  <c r="H121" i="1"/>
  <c r="R60" i="34"/>
  <c r="R61" i="34" s="1"/>
  <c r="Y14" i="40"/>
  <c r="R14" i="40"/>
  <c r="R60" i="38"/>
  <c r="R61" i="38" s="1"/>
  <c r="S36" i="38"/>
  <c r="S60" i="38" s="1"/>
  <c r="H185" i="33"/>
  <c r="C226" i="33" s="1"/>
  <c r="C256" i="33" s="1"/>
  <c r="B186" i="33"/>
  <c r="R11" i="40"/>
  <c r="Y11" i="40"/>
  <c r="Y11" i="36"/>
  <c r="R11" i="36"/>
  <c r="Y24" i="36"/>
  <c r="R24" i="36"/>
  <c r="R4" i="40"/>
  <c r="Y4" i="40"/>
  <c r="Y12" i="40"/>
  <c r="R12" i="40"/>
  <c r="R13" i="40"/>
  <c r="Y13" i="40"/>
  <c r="Y21" i="36"/>
  <c r="R21" i="36"/>
  <c r="R23" i="40"/>
  <c r="Y23" i="40"/>
  <c r="B308" i="33"/>
  <c r="B282" i="33"/>
  <c r="R18" i="36"/>
  <c r="Y18" i="36"/>
  <c r="Y8" i="40"/>
  <c r="R8" i="40"/>
  <c r="R21" i="40"/>
  <c r="Y21" i="40"/>
  <c r="J275" i="37"/>
  <c r="J301" i="37" s="1"/>
  <c r="J277" i="37"/>
  <c r="J303" i="37" s="1"/>
  <c r="J276" i="37"/>
  <c r="J302" i="37" s="1"/>
  <c r="J278" i="37"/>
  <c r="J304" i="37" s="1"/>
  <c r="R14" i="36"/>
  <c r="Y14" i="36"/>
  <c r="Y19" i="40"/>
  <c r="R19" i="40"/>
  <c r="R9" i="36"/>
  <c r="Y9" i="36"/>
  <c r="Q137" i="44"/>
  <c r="Q138" i="44" s="1"/>
  <c r="Y16" i="36"/>
  <c r="R16" i="36"/>
  <c r="P208" i="38"/>
  <c r="R137" i="6"/>
  <c r="R138" i="6" s="1"/>
  <c r="R6" i="36"/>
  <c r="Y6" i="36"/>
  <c r="Q211" i="38"/>
  <c r="Y5" i="36"/>
  <c r="R5" i="36"/>
  <c r="R15" i="36"/>
  <c r="Y15" i="36"/>
  <c r="D308" i="33"/>
  <c r="D282" i="33"/>
  <c r="P210" i="38"/>
  <c r="P206" i="38"/>
  <c r="E158" i="37"/>
  <c r="E159" i="37"/>
  <c r="Y22" i="40"/>
  <c r="R22" i="40"/>
  <c r="R7" i="36"/>
  <c r="Y7" i="36"/>
  <c r="D307" i="37"/>
  <c r="D281" i="37"/>
  <c r="Y22" i="36"/>
  <c r="R22" i="36"/>
  <c r="Q208" i="34"/>
  <c r="Y5" i="40"/>
  <c r="R5" i="40"/>
  <c r="R9" i="40"/>
  <c r="Y9" i="40"/>
  <c r="R7" i="40"/>
  <c r="Y7" i="40"/>
  <c r="R3" i="36"/>
  <c r="Y3" i="36"/>
  <c r="Q210" i="34"/>
  <c r="Q211" i="34" s="1"/>
  <c r="Q206" i="34"/>
  <c r="F158" i="33"/>
  <c r="F159" i="33"/>
  <c r="E182" i="33"/>
  <c r="K181" i="33"/>
  <c r="I222" i="33" s="1"/>
  <c r="I252" i="33" s="1"/>
  <c r="F306" i="33"/>
  <c r="F280" i="33"/>
  <c r="Y24" i="40"/>
  <c r="R24" i="40"/>
  <c r="C186" i="33"/>
  <c r="I185" i="33"/>
  <c r="E226" i="33" s="1"/>
  <c r="E256" i="33" s="1"/>
  <c r="I184" i="37"/>
  <c r="E225" i="37" s="1"/>
  <c r="E255" i="37" s="1"/>
  <c r="C185" i="37"/>
  <c r="R25" i="36"/>
  <c r="Y25" i="36"/>
  <c r="Y3" i="40"/>
  <c r="R3" i="40"/>
  <c r="R6" i="40"/>
  <c r="Y6" i="40"/>
  <c r="Y18" i="40"/>
  <c r="R18" i="40"/>
  <c r="O204" i="2" l="1"/>
  <c r="S61" i="34"/>
  <c r="R207" i="38"/>
  <c r="G157" i="37"/>
  <c r="G8" i="39"/>
  <c r="G11" i="39" s="1"/>
  <c r="H186" i="33"/>
  <c r="C227" i="33" s="1"/>
  <c r="C257" i="33" s="1"/>
  <c r="B187" i="33"/>
  <c r="I7" i="35"/>
  <c r="B309" i="33"/>
  <c r="B283" i="33"/>
  <c r="K183" i="37"/>
  <c r="I224" i="37" s="1"/>
  <c r="I254" i="37" s="1"/>
  <c r="E184" i="37"/>
  <c r="D309" i="33"/>
  <c r="D283" i="33"/>
  <c r="D159" i="1"/>
  <c r="D158" i="1"/>
  <c r="H158" i="1" s="1"/>
  <c r="S204" i="2"/>
  <c r="H305" i="33"/>
  <c r="H279" i="33"/>
  <c r="L181" i="33"/>
  <c r="K222" i="33" s="1"/>
  <c r="K252" i="33" s="1"/>
  <c r="J279" i="33" s="1"/>
  <c r="J305" i="33" s="1"/>
  <c r="F182" i="33"/>
  <c r="K182" i="33"/>
  <c r="I223" i="33" s="1"/>
  <c r="I253" i="33" s="1"/>
  <c r="E183" i="33"/>
  <c r="L181" i="37"/>
  <c r="K222" i="37" s="1"/>
  <c r="K252" i="37" s="1"/>
  <c r="J279" i="37" s="1"/>
  <c r="J305" i="37" s="1"/>
  <c r="F182" i="37"/>
  <c r="F307" i="33"/>
  <c r="F281" i="33"/>
  <c r="C186" i="37"/>
  <c r="I185" i="37"/>
  <c r="E226" i="37" s="1"/>
  <c r="E256" i="37" s="1"/>
  <c r="C187" i="33"/>
  <c r="I186" i="33"/>
  <c r="E227" i="33" s="1"/>
  <c r="E257" i="33" s="1"/>
  <c r="G7" i="39"/>
  <c r="D185" i="33"/>
  <c r="J184" i="33"/>
  <c r="G225" i="33" s="1"/>
  <c r="G255" i="33" s="1"/>
  <c r="D308" i="37"/>
  <c r="D282" i="37"/>
  <c r="P211" i="38"/>
  <c r="S61" i="38"/>
  <c r="J183" i="37"/>
  <c r="G224" i="37" s="1"/>
  <c r="G254" i="37" s="1"/>
  <c r="D184" i="37"/>
  <c r="H136" i="1"/>
  <c r="C157" i="1"/>
  <c r="H157" i="1" s="1"/>
  <c r="H306" i="37"/>
  <c r="H280" i="37"/>
  <c r="C159" i="1"/>
  <c r="H159" i="1" s="1"/>
  <c r="I8" i="35"/>
  <c r="I11" i="35" s="1"/>
  <c r="R207" i="34"/>
  <c r="G157" i="33"/>
  <c r="F306" i="37"/>
  <c r="F280" i="37"/>
  <c r="D310" i="33" l="1"/>
  <c r="D284" i="33"/>
  <c r="E184" i="33"/>
  <c r="K183" i="33"/>
  <c r="I224" i="33" s="1"/>
  <c r="I254" i="33" s="1"/>
  <c r="H306" i="33"/>
  <c r="H280" i="33"/>
  <c r="J184" i="37"/>
  <c r="G225" i="37" s="1"/>
  <c r="G255" i="37" s="1"/>
  <c r="D185" i="37"/>
  <c r="F308" i="33"/>
  <c r="F282" i="33"/>
  <c r="D309" i="37"/>
  <c r="D283" i="37"/>
  <c r="F183" i="33"/>
  <c r="L182" i="33"/>
  <c r="K223" i="33" s="1"/>
  <c r="K253" i="33" s="1"/>
  <c r="J280" i="33" s="1"/>
  <c r="J306" i="33" s="1"/>
  <c r="B188" i="33"/>
  <c r="H187" i="33"/>
  <c r="C228" i="33" s="1"/>
  <c r="C258" i="33" s="1"/>
  <c r="I187" i="33"/>
  <c r="E228" i="33" s="1"/>
  <c r="E258" i="33" s="1"/>
  <c r="C188" i="33"/>
  <c r="K184" i="37"/>
  <c r="I225" i="37" s="1"/>
  <c r="I255" i="37" s="1"/>
  <c r="E185" i="37"/>
  <c r="B310" i="33"/>
  <c r="B284" i="33"/>
  <c r="H307" i="37"/>
  <c r="H281" i="37"/>
  <c r="R206" i="34"/>
  <c r="S206" i="34" s="1"/>
  <c r="R210" i="34"/>
  <c r="G158" i="33"/>
  <c r="H158" i="33" s="1"/>
  <c r="G159" i="33"/>
  <c r="H159" i="33" s="1"/>
  <c r="S207" i="34"/>
  <c r="D186" i="33"/>
  <c r="J185" i="33"/>
  <c r="G226" i="33" s="1"/>
  <c r="G256" i="33" s="1"/>
  <c r="F183" i="37"/>
  <c r="L182" i="37"/>
  <c r="K223" i="37" s="1"/>
  <c r="K253" i="37" s="1"/>
  <c r="J280" i="37" s="1"/>
  <c r="J306" i="37" s="1"/>
  <c r="R208" i="38"/>
  <c r="H157" i="37"/>
  <c r="F307" i="37"/>
  <c r="F281" i="37"/>
  <c r="C187" i="37"/>
  <c r="I186" i="37"/>
  <c r="E227" i="37" s="1"/>
  <c r="E257" i="37" s="1"/>
  <c r="R208" i="34"/>
  <c r="H157" i="33"/>
  <c r="R210" i="38"/>
  <c r="R211" i="38" s="1"/>
  <c r="R206" i="38"/>
  <c r="S206" i="38" s="1"/>
  <c r="G159" i="37"/>
  <c r="H159" i="37" s="1"/>
  <c r="G158" i="37"/>
  <c r="H158" i="37" s="1"/>
  <c r="S207" i="38"/>
  <c r="B311" i="33" l="1"/>
  <c r="B285" i="33"/>
  <c r="D186" i="37"/>
  <c r="J185" i="37"/>
  <c r="G226" i="37" s="1"/>
  <c r="G256" i="37" s="1"/>
  <c r="F308" i="37"/>
  <c r="F282" i="37"/>
  <c r="K8" i="39"/>
  <c r="K11" i="39" s="1"/>
  <c r="J12" i="39" s="1"/>
  <c r="S210" i="38"/>
  <c r="S211" i="38" s="1"/>
  <c r="K7" i="39"/>
  <c r="S208" i="38"/>
  <c r="F184" i="33"/>
  <c r="L183" i="33"/>
  <c r="K224" i="33" s="1"/>
  <c r="K254" i="33" s="1"/>
  <c r="J281" i="33" s="1"/>
  <c r="J307" i="33" s="1"/>
  <c r="H188" i="33"/>
  <c r="C229" i="33" s="1"/>
  <c r="C259" i="33" s="1"/>
  <c r="B189" i="33"/>
  <c r="K185" i="37"/>
  <c r="I226" i="37" s="1"/>
  <c r="I256" i="37" s="1"/>
  <c r="E186" i="37"/>
  <c r="H307" i="33"/>
  <c r="H281" i="33"/>
  <c r="K7" i="35"/>
  <c r="S208" i="34"/>
  <c r="L183" i="37"/>
  <c r="K224" i="37" s="1"/>
  <c r="K254" i="37" s="1"/>
  <c r="J281" i="37" s="1"/>
  <c r="J307" i="37" s="1"/>
  <c r="F184" i="37"/>
  <c r="K8" i="35"/>
  <c r="K11" i="35" s="1"/>
  <c r="J12" i="35" s="1"/>
  <c r="S210" i="34"/>
  <c r="S211" i="34" s="1"/>
  <c r="H308" i="37"/>
  <c r="H282" i="37"/>
  <c r="K184" i="33"/>
  <c r="I225" i="33" s="1"/>
  <c r="I255" i="33" s="1"/>
  <c r="E185" i="33"/>
  <c r="F309" i="33"/>
  <c r="F283" i="33"/>
  <c r="I188" i="33"/>
  <c r="E229" i="33" s="1"/>
  <c r="E259" i="33" s="1"/>
  <c r="C189" i="33"/>
  <c r="D310" i="37"/>
  <c r="D284" i="37"/>
  <c r="C188" i="37"/>
  <c r="I187" i="37"/>
  <c r="E228" i="37" s="1"/>
  <c r="E258" i="37" s="1"/>
  <c r="D187" i="33"/>
  <c r="J186" i="33"/>
  <c r="G227" i="33" s="1"/>
  <c r="G257" i="33" s="1"/>
  <c r="R211" i="34"/>
  <c r="D311" i="33"/>
  <c r="D285" i="33"/>
  <c r="F310" i="33" l="1"/>
  <c r="F284" i="33"/>
  <c r="E187" i="37"/>
  <c r="K186" i="37"/>
  <c r="I227" i="37" s="1"/>
  <c r="I257" i="37" s="1"/>
  <c r="J187" i="33"/>
  <c r="G228" i="33" s="1"/>
  <c r="G258" i="33" s="1"/>
  <c r="D188" i="33"/>
  <c r="B312" i="33"/>
  <c r="B286" i="33"/>
  <c r="L184" i="37"/>
  <c r="K225" i="37" s="1"/>
  <c r="K255" i="37" s="1"/>
  <c r="J282" i="37" s="1"/>
  <c r="J308" i="37" s="1"/>
  <c r="F185" i="37"/>
  <c r="F309" i="37"/>
  <c r="F283" i="37"/>
  <c r="C189" i="37"/>
  <c r="I188" i="37"/>
  <c r="E229" i="37" s="1"/>
  <c r="E259" i="37" s="1"/>
  <c r="H308" i="33"/>
  <c r="H282" i="33"/>
  <c r="L184" i="33"/>
  <c r="K225" i="33" s="1"/>
  <c r="K255" i="33" s="1"/>
  <c r="J282" i="33" s="1"/>
  <c r="J308" i="33" s="1"/>
  <c r="F185" i="33"/>
  <c r="D187" i="37"/>
  <c r="J186" i="37"/>
  <c r="G227" i="37" s="1"/>
  <c r="G257" i="37" s="1"/>
  <c r="E186" i="33"/>
  <c r="K185" i="33"/>
  <c r="I226" i="33" s="1"/>
  <c r="I256" i="33" s="1"/>
  <c r="C190" i="33"/>
  <c r="I189" i="33"/>
  <c r="E230" i="33" s="1"/>
  <c r="E260" i="33" s="1"/>
  <c r="H309" i="37"/>
  <c r="H283" i="37"/>
  <c r="D311" i="37"/>
  <c r="D285" i="37"/>
  <c r="B190" i="33"/>
  <c r="H189" i="33"/>
  <c r="C230" i="33" s="1"/>
  <c r="C260" i="33" s="1"/>
  <c r="D312" i="33"/>
  <c r="D286" i="33"/>
  <c r="D313" i="33" l="1"/>
  <c r="D287" i="33"/>
  <c r="D312" i="37"/>
  <c r="D286" i="37"/>
  <c r="J188" i="33"/>
  <c r="G229" i="33" s="1"/>
  <c r="G259" i="33" s="1"/>
  <c r="D189" i="33"/>
  <c r="B313" i="33"/>
  <c r="B287" i="33"/>
  <c r="B191" i="33"/>
  <c r="H190" i="33"/>
  <c r="C231" i="33" s="1"/>
  <c r="C261" i="33" s="1"/>
  <c r="K186" i="33"/>
  <c r="I227" i="33" s="1"/>
  <c r="I257" i="33" s="1"/>
  <c r="E187" i="33"/>
  <c r="C190" i="37"/>
  <c r="I189" i="37"/>
  <c r="E230" i="37" s="1"/>
  <c r="E260" i="37" s="1"/>
  <c r="F311" i="33"/>
  <c r="F285" i="33"/>
  <c r="H310" i="37"/>
  <c r="H284" i="37"/>
  <c r="C191" i="33"/>
  <c r="I190" i="33"/>
  <c r="E231" i="33" s="1"/>
  <c r="E261" i="33" s="1"/>
  <c r="F310" i="37"/>
  <c r="F284" i="37"/>
  <c r="E188" i="37"/>
  <c r="K187" i="37"/>
  <c r="I228" i="37" s="1"/>
  <c r="I258" i="37" s="1"/>
  <c r="H309" i="33"/>
  <c r="H283" i="33"/>
  <c r="D188" i="37"/>
  <c r="J187" i="37"/>
  <c r="G228" i="37" s="1"/>
  <c r="G258" i="37" s="1"/>
  <c r="L185" i="33"/>
  <c r="K226" i="33" s="1"/>
  <c r="K256" i="33" s="1"/>
  <c r="J283" i="33" s="1"/>
  <c r="J309" i="33" s="1"/>
  <c r="F186" i="33"/>
  <c r="L185" i="37"/>
  <c r="K226" i="37" s="1"/>
  <c r="K256" i="37" s="1"/>
  <c r="J283" i="37" s="1"/>
  <c r="J309" i="37" s="1"/>
  <c r="F186" i="37"/>
  <c r="H311" i="37" l="1"/>
  <c r="H285" i="37"/>
  <c r="L186" i="37"/>
  <c r="K227" i="37" s="1"/>
  <c r="K257" i="37" s="1"/>
  <c r="J284" i="37" s="1"/>
  <c r="J310" i="37" s="1"/>
  <c r="F187" i="37"/>
  <c r="D313" i="37"/>
  <c r="D287" i="37"/>
  <c r="J189" i="33"/>
  <c r="G230" i="33" s="1"/>
  <c r="G260" i="33" s="1"/>
  <c r="D190" i="33"/>
  <c r="C191" i="37"/>
  <c r="I190" i="37"/>
  <c r="E231" i="37" s="1"/>
  <c r="E261" i="37" s="1"/>
  <c r="F312" i="33"/>
  <c r="F286" i="33"/>
  <c r="K187" i="33"/>
  <c r="I228" i="33" s="1"/>
  <c r="I258" i="33" s="1"/>
  <c r="E188" i="33"/>
  <c r="F311" i="37"/>
  <c r="F285" i="37"/>
  <c r="C192" i="33"/>
  <c r="I191" i="33"/>
  <c r="E232" i="33" s="1"/>
  <c r="E262" i="33" s="1"/>
  <c r="H310" i="33"/>
  <c r="H284" i="33"/>
  <c r="E189" i="37"/>
  <c r="K188" i="37"/>
  <c r="I229" i="37" s="1"/>
  <c r="I259" i="37" s="1"/>
  <c r="F187" i="33"/>
  <c r="L186" i="33"/>
  <c r="K227" i="33" s="1"/>
  <c r="K257" i="33" s="1"/>
  <c r="J284" i="33" s="1"/>
  <c r="J310" i="33" s="1"/>
  <c r="D314" i="33"/>
  <c r="D288" i="33"/>
  <c r="D189" i="37"/>
  <c r="J188" i="37"/>
  <c r="G229" i="37" s="1"/>
  <c r="G259" i="37" s="1"/>
  <c r="B314" i="33"/>
  <c r="B288" i="33"/>
  <c r="B192" i="33"/>
  <c r="H191" i="33"/>
  <c r="C232" i="33" s="1"/>
  <c r="C262" i="33" s="1"/>
  <c r="J190" i="33" l="1"/>
  <c r="G231" i="33" s="1"/>
  <c r="G261" i="33" s="1"/>
  <c r="D191" i="33"/>
  <c r="B315" i="33"/>
  <c r="B289" i="33"/>
  <c r="H192" i="33"/>
  <c r="C233" i="33" s="1"/>
  <c r="C263" i="33" s="1"/>
  <c r="B193" i="33"/>
  <c r="F188" i="33"/>
  <c r="L187" i="33"/>
  <c r="K228" i="33" s="1"/>
  <c r="K258" i="33" s="1"/>
  <c r="J285" i="33" s="1"/>
  <c r="J311" i="33" s="1"/>
  <c r="F313" i="33"/>
  <c r="F287" i="33"/>
  <c r="H312" i="37"/>
  <c r="H286" i="37"/>
  <c r="E189" i="33"/>
  <c r="K188" i="33"/>
  <c r="I229" i="33" s="1"/>
  <c r="I259" i="33" s="1"/>
  <c r="K189" i="37"/>
  <c r="I230" i="37" s="1"/>
  <c r="I260" i="37" s="1"/>
  <c r="E190" i="37"/>
  <c r="H311" i="33"/>
  <c r="H285" i="33"/>
  <c r="F312" i="37"/>
  <c r="F286" i="37"/>
  <c r="F188" i="37"/>
  <c r="L187" i="37"/>
  <c r="K228" i="37" s="1"/>
  <c r="K258" i="37" s="1"/>
  <c r="J285" i="37" s="1"/>
  <c r="J311" i="37" s="1"/>
  <c r="J189" i="37"/>
  <c r="G230" i="37" s="1"/>
  <c r="G260" i="37" s="1"/>
  <c r="D190" i="37"/>
  <c r="D315" i="33"/>
  <c r="D289" i="33"/>
  <c r="D314" i="37"/>
  <c r="D288" i="37"/>
  <c r="I192" i="33"/>
  <c r="E233" i="33" s="1"/>
  <c r="E263" i="33" s="1"/>
  <c r="C193" i="33"/>
  <c r="C192" i="37"/>
  <c r="I191" i="37"/>
  <c r="E232" i="37" s="1"/>
  <c r="E262" i="37" s="1"/>
  <c r="F313" i="37" l="1"/>
  <c r="F287" i="37"/>
  <c r="H313" i="37"/>
  <c r="H287" i="37"/>
  <c r="F189" i="33"/>
  <c r="L188" i="33"/>
  <c r="K229" i="33" s="1"/>
  <c r="K259" i="33" s="1"/>
  <c r="J286" i="33" s="1"/>
  <c r="J312" i="33" s="1"/>
  <c r="H312" i="33"/>
  <c r="H286" i="33"/>
  <c r="B194" i="33"/>
  <c r="H193" i="33"/>
  <c r="C234" i="33" s="1"/>
  <c r="C264" i="33" s="1"/>
  <c r="D316" i="33"/>
  <c r="D290" i="33"/>
  <c r="K189" i="33"/>
  <c r="I230" i="33" s="1"/>
  <c r="I260" i="33" s="1"/>
  <c r="E190" i="33"/>
  <c r="B316" i="33"/>
  <c r="B290" i="33"/>
  <c r="D315" i="37"/>
  <c r="D289" i="37"/>
  <c r="J190" i="37"/>
  <c r="G231" i="37" s="1"/>
  <c r="G261" i="37" s="1"/>
  <c r="D191" i="37"/>
  <c r="C193" i="37"/>
  <c r="I192" i="37"/>
  <c r="E233" i="37" s="1"/>
  <c r="E263" i="37" s="1"/>
  <c r="L188" i="37"/>
  <c r="K229" i="37" s="1"/>
  <c r="K259" i="37" s="1"/>
  <c r="J286" i="37" s="1"/>
  <c r="J312" i="37" s="1"/>
  <c r="F189" i="37"/>
  <c r="E191" i="37"/>
  <c r="K190" i="37"/>
  <c r="I231" i="37" s="1"/>
  <c r="I261" i="37" s="1"/>
  <c r="C194" i="33"/>
  <c r="I193" i="33"/>
  <c r="E234" i="33" s="1"/>
  <c r="E264" i="33" s="1"/>
  <c r="D192" i="33"/>
  <c r="J191" i="33"/>
  <c r="G232" i="33" s="1"/>
  <c r="G262" i="33" s="1"/>
  <c r="F314" i="33"/>
  <c r="F288" i="33"/>
  <c r="L189" i="37" l="1"/>
  <c r="K230" i="37" s="1"/>
  <c r="K260" i="37" s="1"/>
  <c r="J287" i="37" s="1"/>
  <c r="J313" i="37" s="1"/>
  <c r="F190" i="37"/>
  <c r="F315" i="33"/>
  <c r="F289" i="33"/>
  <c r="D316" i="37"/>
  <c r="D290" i="37"/>
  <c r="E191" i="33"/>
  <c r="K190" i="33"/>
  <c r="I231" i="33" s="1"/>
  <c r="I261" i="33" s="1"/>
  <c r="D193" i="33"/>
  <c r="J192" i="33"/>
  <c r="G233" i="33" s="1"/>
  <c r="G263" i="33" s="1"/>
  <c r="I193" i="37"/>
  <c r="E234" i="37" s="1"/>
  <c r="E264" i="37" s="1"/>
  <c r="C194" i="37"/>
  <c r="H313" i="33"/>
  <c r="H287" i="33"/>
  <c r="L189" i="33"/>
  <c r="K230" i="33" s="1"/>
  <c r="K260" i="33" s="1"/>
  <c r="J287" i="33" s="1"/>
  <c r="J313" i="33" s="1"/>
  <c r="F190" i="33"/>
  <c r="D317" i="33"/>
  <c r="D291" i="33"/>
  <c r="D192" i="37"/>
  <c r="J191" i="37"/>
  <c r="G232" i="37" s="1"/>
  <c r="G262" i="37" s="1"/>
  <c r="C195" i="33"/>
  <c r="I194" i="33"/>
  <c r="E235" i="33" s="1"/>
  <c r="E265" i="33" s="1"/>
  <c r="F314" i="37"/>
  <c r="F288" i="37"/>
  <c r="H314" i="37"/>
  <c r="H288" i="37"/>
  <c r="B317" i="33"/>
  <c r="B291" i="33"/>
  <c r="K191" i="37"/>
  <c r="I232" i="37" s="1"/>
  <c r="I262" i="37" s="1"/>
  <c r="E192" i="37"/>
  <c r="B195" i="33"/>
  <c r="H194" i="33"/>
  <c r="C235" i="33" s="1"/>
  <c r="C265" i="33" s="1"/>
  <c r="B318" i="33" l="1"/>
  <c r="B292" i="33"/>
  <c r="L190" i="33"/>
  <c r="K231" i="33" s="1"/>
  <c r="K261" i="33" s="1"/>
  <c r="J288" i="33" s="1"/>
  <c r="J314" i="33" s="1"/>
  <c r="F191" i="33"/>
  <c r="H314" i="33"/>
  <c r="H288" i="33"/>
  <c r="K191" i="33"/>
  <c r="I232" i="33" s="1"/>
  <c r="I262" i="33" s="1"/>
  <c r="E192" i="33"/>
  <c r="E193" i="37"/>
  <c r="K192" i="37"/>
  <c r="I233" i="37" s="1"/>
  <c r="I263" i="37" s="1"/>
  <c r="D318" i="33"/>
  <c r="D292" i="33"/>
  <c r="H315" i="37"/>
  <c r="H289" i="37"/>
  <c r="I195" i="33"/>
  <c r="E236" i="33" s="1"/>
  <c r="E266" i="33" s="1"/>
  <c r="C196" i="33"/>
  <c r="H195" i="33"/>
  <c r="C236" i="33" s="1"/>
  <c r="C266" i="33" s="1"/>
  <c r="B196" i="33"/>
  <c r="F315" i="37"/>
  <c r="F289" i="37"/>
  <c r="C195" i="37"/>
  <c r="I194" i="37"/>
  <c r="E235" i="37" s="1"/>
  <c r="E265" i="37" s="1"/>
  <c r="D317" i="37"/>
  <c r="D291" i="37"/>
  <c r="D193" i="37"/>
  <c r="J192" i="37"/>
  <c r="G233" i="37" s="1"/>
  <c r="G263" i="37" s="1"/>
  <c r="F316" i="33"/>
  <c r="F290" i="33"/>
  <c r="F191" i="37"/>
  <c r="L190" i="37"/>
  <c r="K231" i="37" s="1"/>
  <c r="K261" i="37" s="1"/>
  <c r="J288" i="37" s="1"/>
  <c r="J314" i="37" s="1"/>
  <c r="D194" i="33"/>
  <c r="J193" i="33"/>
  <c r="G234" i="33" s="1"/>
  <c r="G264" i="33" s="1"/>
  <c r="F317" i="33" l="1"/>
  <c r="F291" i="33"/>
  <c r="I196" i="33"/>
  <c r="E237" i="33" s="1"/>
  <c r="E267" i="33" s="1"/>
  <c r="C197" i="33"/>
  <c r="K192" i="33"/>
  <c r="I233" i="33" s="1"/>
  <c r="I263" i="33" s="1"/>
  <c r="E193" i="33"/>
  <c r="D195" i="33"/>
  <c r="J194" i="33"/>
  <c r="G235" i="33" s="1"/>
  <c r="G265" i="33" s="1"/>
  <c r="F192" i="33"/>
  <c r="L191" i="33"/>
  <c r="K232" i="33" s="1"/>
  <c r="K262" i="33" s="1"/>
  <c r="J289" i="33" s="1"/>
  <c r="J315" i="33" s="1"/>
  <c r="H315" i="33"/>
  <c r="H289" i="33"/>
  <c r="I195" i="37"/>
  <c r="E236" i="37" s="1"/>
  <c r="E266" i="37" s="1"/>
  <c r="C196" i="37"/>
  <c r="D319" i="33"/>
  <c r="D293" i="33"/>
  <c r="H316" i="37"/>
  <c r="H290" i="37"/>
  <c r="D318" i="37"/>
  <c r="D292" i="37"/>
  <c r="L191" i="37"/>
  <c r="K232" i="37" s="1"/>
  <c r="K262" i="37" s="1"/>
  <c r="J289" i="37" s="1"/>
  <c r="J315" i="37" s="1"/>
  <c r="F192" i="37"/>
  <c r="F316" i="37"/>
  <c r="F290" i="37"/>
  <c r="H196" i="33"/>
  <c r="C237" i="33" s="1"/>
  <c r="C267" i="33" s="1"/>
  <c r="B197" i="33"/>
  <c r="D194" i="37"/>
  <c r="J193" i="37"/>
  <c r="G234" i="37" s="1"/>
  <c r="G264" i="37" s="1"/>
  <c r="B319" i="33"/>
  <c r="B293" i="33"/>
  <c r="K193" i="37"/>
  <c r="I234" i="37" s="1"/>
  <c r="I264" i="37" s="1"/>
  <c r="E194" i="37"/>
  <c r="F318" i="33" l="1"/>
  <c r="F292" i="33"/>
  <c r="E195" i="37"/>
  <c r="K194" i="37"/>
  <c r="I235" i="37" s="1"/>
  <c r="I265" i="37" s="1"/>
  <c r="F193" i="37"/>
  <c r="L192" i="37"/>
  <c r="K233" i="37" s="1"/>
  <c r="K263" i="37" s="1"/>
  <c r="J290" i="37" s="1"/>
  <c r="J316" i="37" s="1"/>
  <c r="C197" i="37"/>
  <c r="I196" i="37"/>
  <c r="E237" i="37" s="1"/>
  <c r="E267" i="37" s="1"/>
  <c r="E194" i="33"/>
  <c r="K193" i="33"/>
  <c r="I234" i="33" s="1"/>
  <c r="I264" i="33" s="1"/>
  <c r="D319" i="37"/>
  <c r="D293" i="37"/>
  <c r="H316" i="33"/>
  <c r="H290" i="33"/>
  <c r="C198" i="33"/>
  <c r="I197" i="33"/>
  <c r="E238" i="33" s="1"/>
  <c r="E268" i="33" s="1"/>
  <c r="J195" i="33"/>
  <c r="G236" i="33" s="1"/>
  <c r="G266" i="33" s="1"/>
  <c r="D196" i="33"/>
  <c r="J194" i="37"/>
  <c r="G235" i="37" s="1"/>
  <c r="G265" i="37" s="1"/>
  <c r="D195" i="37"/>
  <c r="D320" i="33"/>
  <c r="D294" i="33"/>
  <c r="H317" i="37"/>
  <c r="H291" i="37"/>
  <c r="F317" i="37"/>
  <c r="F291" i="37"/>
  <c r="H197" i="33"/>
  <c r="C238" i="33" s="1"/>
  <c r="C268" i="33" s="1"/>
  <c r="B198" i="33"/>
  <c r="B320" i="33"/>
  <c r="B294" i="33"/>
  <c r="L192" i="33"/>
  <c r="K233" i="33" s="1"/>
  <c r="K263" i="33" s="1"/>
  <c r="J290" i="33" s="1"/>
  <c r="J316" i="33" s="1"/>
  <c r="F193" i="33"/>
  <c r="F194" i="33" l="1"/>
  <c r="L193" i="33"/>
  <c r="K234" i="33" s="1"/>
  <c r="K264" i="33" s="1"/>
  <c r="J291" i="33" s="1"/>
  <c r="J317" i="33" s="1"/>
  <c r="D321" i="33"/>
  <c r="D295" i="33"/>
  <c r="D320" i="37"/>
  <c r="D294" i="37"/>
  <c r="F194" i="37"/>
  <c r="L193" i="37"/>
  <c r="K234" i="37" s="1"/>
  <c r="K264" i="37" s="1"/>
  <c r="J291" i="37" s="1"/>
  <c r="J317" i="37" s="1"/>
  <c r="I197" i="37"/>
  <c r="E238" i="37" s="1"/>
  <c r="E268" i="37" s="1"/>
  <c r="C198" i="37"/>
  <c r="H198" i="33"/>
  <c r="C239" i="33" s="1"/>
  <c r="C269" i="33" s="1"/>
  <c r="B199" i="33"/>
  <c r="H318" i="37"/>
  <c r="H292" i="37"/>
  <c r="F318" i="37"/>
  <c r="F292" i="37"/>
  <c r="E196" i="37"/>
  <c r="K195" i="37"/>
  <c r="I236" i="37" s="1"/>
  <c r="I266" i="37" s="1"/>
  <c r="C199" i="33"/>
  <c r="I198" i="33"/>
  <c r="E239" i="33" s="1"/>
  <c r="E269" i="33" s="1"/>
  <c r="J195" i="37"/>
  <c r="G236" i="37" s="1"/>
  <c r="G266" i="37" s="1"/>
  <c r="D196" i="37"/>
  <c r="B321" i="33"/>
  <c r="B295" i="33"/>
  <c r="D197" i="33"/>
  <c r="J196" i="33"/>
  <c r="G237" i="33" s="1"/>
  <c r="G267" i="33" s="1"/>
  <c r="H317" i="33"/>
  <c r="H291" i="33"/>
  <c r="F319" i="33"/>
  <c r="F293" i="33"/>
  <c r="K194" i="33"/>
  <c r="I235" i="33" s="1"/>
  <c r="I265" i="33" s="1"/>
  <c r="E195" i="33"/>
  <c r="L194" i="37" l="1"/>
  <c r="K235" i="37" s="1"/>
  <c r="K265" i="37" s="1"/>
  <c r="J292" i="37" s="1"/>
  <c r="J318" i="37" s="1"/>
  <c r="F195" i="37"/>
  <c r="J196" i="37"/>
  <c r="G237" i="37" s="1"/>
  <c r="G267" i="37" s="1"/>
  <c r="D197" i="37"/>
  <c r="K195" i="33"/>
  <c r="I236" i="33" s="1"/>
  <c r="I266" i="33" s="1"/>
  <c r="E196" i="33"/>
  <c r="F319" i="37"/>
  <c r="F293" i="37"/>
  <c r="D322" i="33"/>
  <c r="D296" i="33"/>
  <c r="H199" i="33"/>
  <c r="C240" i="33" s="1"/>
  <c r="C270" i="33" s="1"/>
  <c r="B200" i="33"/>
  <c r="H200" i="33" s="1"/>
  <c r="C241" i="33" s="1"/>
  <c r="C271" i="33" s="1"/>
  <c r="H318" i="33"/>
  <c r="H292" i="33"/>
  <c r="B322" i="33"/>
  <c r="B296" i="33"/>
  <c r="I199" i="33"/>
  <c r="E240" i="33" s="1"/>
  <c r="E270" i="33" s="1"/>
  <c r="C200" i="33"/>
  <c r="I200" i="33" s="1"/>
  <c r="E241" i="33" s="1"/>
  <c r="E271" i="33" s="1"/>
  <c r="F320" i="33"/>
  <c r="F294" i="33"/>
  <c r="H319" i="37"/>
  <c r="H293" i="37"/>
  <c r="C199" i="37"/>
  <c r="I198" i="37"/>
  <c r="E239" i="37" s="1"/>
  <c r="E269" i="37" s="1"/>
  <c r="J197" i="33"/>
  <c r="G238" i="33" s="1"/>
  <c r="G268" i="33" s="1"/>
  <c r="D198" i="33"/>
  <c r="E197" i="37"/>
  <c r="K196" i="37"/>
  <c r="I237" i="37" s="1"/>
  <c r="I267" i="37" s="1"/>
  <c r="D321" i="37"/>
  <c r="D295" i="37"/>
  <c r="L194" i="33"/>
  <c r="K235" i="33" s="1"/>
  <c r="K265" i="33" s="1"/>
  <c r="J292" i="33" s="1"/>
  <c r="J318" i="33" s="1"/>
  <c r="F195" i="33"/>
  <c r="D322" i="37" l="1"/>
  <c r="D296" i="37"/>
  <c r="C200" i="37"/>
  <c r="I200" i="37" s="1"/>
  <c r="E241" i="37" s="1"/>
  <c r="E271" i="37" s="1"/>
  <c r="I199" i="37"/>
  <c r="E240" i="37" s="1"/>
  <c r="E270" i="37" s="1"/>
  <c r="L195" i="33"/>
  <c r="K236" i="33" s="1"/>
  <c r="K266" i="33" s="1"/>
  <c r="J293" i="33" s="1"/>
  <c r="J319" i="33" s="1"/>
  <c r="F196" i="33"/>
  <c r="K196" i="33"/>
  <c r="I237" i="33" s="1"/>
  <c r="I267" i="33" s="1"/>
  <c r="E197" i="33"/>
  <c r="H319" i="33"/>
  <c r="H293" i="33"/>
  <c r="H320" i="37"/>
  <c r="H294" i="37"/>
  <c r="B324" i="33"/>
  <c r="B298" i="33"/>
  <c r="J197" i="37"/>
  <c r="G238" i="37" s="1"/>
  <c r="G268" i="37" s="1"/>
  <c r="D198" i="37"/>
  <c r="E198" i="37"/>
  <c r="K197" i="37"/>
  <c r="I238" i="37" s="1"/>
  <c r="I268" i="37" s="1"/>
  <c r="B323" i="33"/>
  <c r="B297" i="33"/>
  <c r="F320" i="37"/>
  <c r="F294" i="37"/>
  <c r="D199" i="33"/>
  <c r="J198" i="33"/>
  <c r="G239" i="33" s="1"/>
  <c r="G269" i="33" s="1"/>
  <c r="D324" i="33"/>
  <c r="D298" i="33"/>
  <c r="L195" i="37"/>
  <c r="K236" i="37" s="1"/>
  <c r="K266" i="37" s="1"/>
  <c r="J293" i="37" s="1"/>
  <c r="J319" i="37" s="1"/>
  <c r="F196" i="37"/>
  <c r="F321" i="33"/>
  <c r="F295" i="33"/>
  <c r="D323" i="33"/>
  <c r="D297" i="33"/>
  <c r="F322" i="33" l="1"/>
  <c r="F296" i="33"/>
  <c r="J198" i="37"/>
  <c r="G239" i="37" s="1"/>
  <c r="G269" i="37" s="1"/>
  <c r="D199" i="37"/>
  <c r="K197" i="33"/>
  <c r="I238" i="33" s="1"/>
  <c r="I268" i="33" s="1"/>
  <c r="E198" i="33"/>
  <c r="F321" i="37"/>
  <c r="F295" i="37"/>
  <c r="H320" i="33"/>
  <c r="H294" i="33"/>
  <c r="F197" i="33"/>
  <c r="L196" i="33"/>
  <c r="K237" i="33" s="1"/>
  <c r="K267" i="33" s="1"/>
  <c r="J294" i="33" s="1"/>
  <c r="J320" i="33" s="1"/>
  <c r="J199" i="33"/>
  <c r="G240" i="33" s="1"/>
  <c r="G270" i="33" s="1"/>
  <c r="D200" i="33"/>
  <c r="J200" i="33" s="1"/>
  <c r="G241" i="33" s="1"/>
  <c r="G271" i="33" s="1"/>
  <c r="L196" i="37"/>
  <c r="K237" i="37" s="1"/>
  <c r="K267" i="37" s="1"/>
  <c r="J294" i="37" s="1"/>
  <c r="J320" i="37" s="1"/>
  <c r="F197" i="37"/>
  <c r="D323" i="37"/>
  <c r="D297" i="37"/>
  <c r="D324" i="37"/>
  <c r="D298" i="37"/>
  <c r="H321" i="37"/>
  <c r="H295" i="37"/>
  <c r="K198" i="37"/>
  <c r="I239" i="37" s="1"/>
  <c r="I269" i="37" s="1"/>
  <c r="E199" i="37"/>
  <c r="E200" i="37" l="1"/>
  <c r="K200" i="37" s="1"/>
  <c r="I241" i="37" s="1"/>
  <c r="I271" i="37" s="1"/>
  <c r="K199" i="37"/>
  <c r="I240" i="37" s="1"/>
  <c r="I270" i="37" s="1"/>
  <c r="F198" i="37"/>
  <c r="L197" i="37"/>
  <c r="K238" i="37" s="1"/>
  <c r="K268" i="37" s="1"/>
  <c r="J295" i="37" s="1"/>
  <c r="J321" i="37" s="1"/>
  <c r="F324" i="33"/>
  <c r="F298" i="33"/>
  <c r="K198" i="33"/>
  <c r="I239" i="33" s="1"/>
  <c r="I269" i="33" s="1"/>
  <c r="E199" i="33"/>
  <c r="F323" i="33"/>
  <c r="F297" i="33"/>
  <c r="H321" i="33"/>
  <c r="H295" i="33"/>
  <c r="J199" i="37"/>
  <c r="G240" i="37" s="1"/>
  <c r="G270" i="37" s="1"/>
  <c r="D200" i="37"/>
  <c r="J200" i="37" s="1"/>
  <c r="G241" i="37" s="1"/>
  <c r="G271" i="37" s="1"/>
  <c r="H322" i="37"/>
  <c r="H296" i="37"/>
  <c r="L197" i="33"/>
  <c r="K238" i="33" s="1"/>
  <c r="K268" i="33" s="1"/>
  <c r="J295" i="33" s="1"/>
  <c r="J321" i="33" s="1"/>
  <c r="F198" i="33"/>
  <c r="F322" i="37"/>
  <c r="F296" i="37"/>
  <c r="E200" i="33" l="1"/>
  <c r="K200" i="33" s="1"/>
  <c r="I241" i="33" s="1"/>
  <c r="I271" i="33" s="1"/>
  <c r="K199" i="33"/>
  <c r="I240" i="33" s="1"/>
  <c r="I270" i="33" s="1"/>
  <c r="H322" i="33"/>
  <c r="H296" i="33"/>
  <c r="F324" i="37"/>
  <c r="F298" i="37"/>
  <c r="F323" i="37"/>
  <c r="F297" i="37"/>
  <c r="F199" i="37"/>
  <c r="L198" i="37"/>
  <c r="K239" i="37" s="1"/>
  <c r="K269" i="37" s="1"/>
  <c r="J296" i="37" s="1"/>
  <c r="J322" i="37" s="1"/>
  <c r="L198" i="33"/>
  <c r="K239" i="33" s="1"/>
  <c r="K269" i="33" s="1"/>
  <c r="J296" i="33" s="1"/>
  <c r="J322" i="33" s="1"/>
  <c r="F199" i="33"/>
  <c r="H323" i="37"/>
  <c r="H297" i="37"/>
  <c r="H324" i="37"/>
  <c r="H298" i="37"/>
  <c r="L199" i="33" l="1"/>
  <c r="K240" i="33" s="1"/>
  <c r="K270" i="33" s="1"/>
  <c r="J297" i="33" s="1"/>
  <c r="J323" i="33" s="1"/>
  <c r="F200" i="33"/>
  <c r="L200" i="33" s="1"/>
  <c r="K241" i="33" s="1"/>
  <c r="K271" i="33" s="1"/>
  <c r="J298" i="33" s="1"/>
  <c r="J324" i="33" s="1"/>
  <c r="H323" i="33"/>
  <c r="H297" i="33"/>
  <c r="L199" i="37"/>
  <c r="K240" i="37" s="1"/>
  <c r="K270" i="37" s="1"/>
  <c r="J297" i="37" s="1"/>
  <c r="J323" i="37" s="1"/>
  <c r="F200" i="37"/>
  <c r="L200" i="37" s="1"/>
  <c r="K241" i="37" s="1"/>
  <c r="K271" i="37" s="1"/>
  <c r="J298" i="37" s="1"/>
  <c r="J324" i="37" s="1"/>
  <c r="H324" i="33"/>
  <c r="H298" i="33"/>
</calcChain>
</file>

<file path=xl/comments1.xml><?xml version="1.0" encoding="utf-8"?>
<comments xmlns="http://schemas.openxmlformats.org/spreadsheetml/2006/main">
  <authors>
    <author>Alyssa Bunn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 of months for shorter first period.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project period is less than 12 months (3 for example), 100% will equal 100% of that period of time- 3 moinths in the example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Alyssa Bun
</t>
        </r>
        <r>
          <rPr>
            <sz val="9"/>
            <color indexed="81"/>
            <rFont val="Tahoma"/>
            <family val="2"/>
          </rPr>
          <t>You should only choose "No" if sponsor policy does not allow fringe projections (e.g., Some DOE and NIH)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</rPr>
          <t>Rate codes by title code available at: http://accounting.ucdavis.edu/costing/</t>
        </r>
      </text>
    </comment>
    <comment ref="D35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F-SMRA: 6/15-9/15 
F-SMRB: 7/1-9/15
F-SMRC: 7/1-9/1
Summer calculation based on effort; if % effort exceeds available summer, excess is calculated at highest rate for period.
?s- aabunn@ucadvis.edu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for  your reference</t>
        </r>
      </text>
    </comment>
    <comment ref="K123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UC is always excluded from the IC Base- even when using TDC or TC.</t>
        </r>
      </text>
    </comment>
    <comment ref="I15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#GSRs to calculate by # of students; #Qrts to calculate by quarters.  Both fields can take decimals</t>
        </r>
      </text>
    </comment>
  </commentList>
</comments>
</file>

<file path=xl/comments2.xml><?xml version="1.0" encoding="utf-8"?>
<comments xmlns="http://schemas.openxmlformats.org/spreadsheetml/2006/main">
  <authors>
    <author>Alyssa Bunn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 of months for shorter first period.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project period is less than 12 months (3 for example), 100% will equal 100% of that period of time- 3 moinths in the example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Rate codes by title code available at: http://accounting.ucdavis.edu/costing/</t>
        </r>
      </text>
    </comment>
    <comment ref="D34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F-SMRA: 6/15-9/15 
F-SMRB: 7/1-9/15
F-SMRC: 7/1-9/1
Summer calculation based on effort; if % effort exceeds available summer, excess is calculated at highest rate for period.
?s- aabunn@ucadvis.edu</t>
        </r>
      </text>
    </comment>
    <comment ref="A137" authorId="0" shapeId="0">
      <text>
        <r>
          <rPr>
            <b/>
            <sz val="9"/>
            <color indexed="81"/>
            <rFont val="Tahoma"/>
            <family val="2"/>
          </rPr>
          <t xml:space="preserve">If Rate type is "other" and base type is "custom" unhide row 163 to create a custom base. 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Rate type is "other" and base type is "custom" unhide row 163 to create a custom base.  </t>
        </r>
      </text>
    </comment>
  </commentList>
</comments>
</file>

<file path=xl/comments3.xml><?xml version="1.0" encoding="utf-8"?>
<comments xmlns="http://schemas.openxmlformats.org/spreadsheetml/2006/main">
  <authors>
    <author>Alyssa Bunn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 of months for shorter first period.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project period is less than 12 months (3 for example), 100% will equal 100% of that period of time- 3 moinths in the example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Rate codes by title code available at: http://accounting.ucdavis.edu/costing/</t>
        </r>
      </text>
    </comment>
    <comment ref="D34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F-SMRA: 6/15-9/15 
F-SMRB: 7/1-9/15
F-SMRC: 7/1-9/1
Summer calculation based on effort; if % effort exceeds available summer, excess is calculated at highest rate for period.
?s- aabunn@ucadvis.edu</t>
        </r>
      </text>
    </comment>
    <comment ref="A137" authorId="0" shapeId="0">
      <text>
        <r>
          <rPr>
            <b/>
            <sz val="9"/>
            <color indexed="81"/>
            <rFont val="Tahoma"/>
            <family val="2"/>
          </rPr>
          <t xml:space="preserve">If Rate type is "other" and base type is "custom" unhide row 163 to create a custom base. 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Rate type is "other" and base type is "custom" unhide row 163 to create a custom base.  </t>
        </r>
      </text>
    </comment>
  </commentList>
</comments>
</file>

<file path=xl/comments4.xml><?xml version="1.0" encoding="utf-8"?>
<comments xmlns="http://schemas.openxmlformats.org/spreadsheetml/2006/main">
  <authors>
    <author>Alyssa Bunn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 of months for shorter first period.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project period is less than 12 months (3 for example), 100% will equal 100% of that period of time- 3 moinths in the example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Alyssa Bun
</t>
        </r>
        <r>
          <rPr>
            <sz val="9"/>
            <color indexed="81"/>
            <rFont val="Tahoma"/>
            <family val="2"/>
          </rPr>
          <t>You should only choose "No" if sponsor policy does not allow fringe projections (e.g., Some DOE and NIH)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</rPr>
          <t>Rate codes by title code available at: http://accounting.ucdavis.edu/costing/</t>
        </r>
      </text>
    </comment>
    <comment ref="D35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F-SMRA: 6/15-9/15 
F-SMRB: 7/1-9/15
F-SMRC: 7/1-9/1
Summer calculation based on effort; if % effort exceeds available summer, excess is calculated at highest rate for period.
?s- aabunn@ucadvis.edu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for  your reference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UC is always excluded from the IC Base- even when using TDC or TC.</t>
        </r>
      </text>
    </comment>
    <comment ref="I158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#GSRs to calculate by # of students; #Qrts to calculate by quarters.  Both fields can take decimals</t>
        </r>
      </text>
    </comment>
    <comment ref="D208" authorId="0" shapeId="0">
      <text>
        <r>
          <rPr>
            <b/>
            <sz val="9"/>
            <color indexed="81"/>
            <rFont val="Tahoma"/>
            <family val="2"/>
          </rPr>
          <t xml:space="preserve">Base information will appear below if you choose "other" as the rate type. </t>
        </r>
      </text>
    </comment>
    <comment ref="A210" authorId="0" shapeId="0">
      <text>
        <r>
          <rPr>
            <b/>
            <sz val="9"/>
            <color indexed="81"/>
            <rFont val="Tahoma"/>
            <family val="2"/>
          </rPr>
          <t xml:space="preserve">If Rate type is "other" and base type is "custom" unhide row 163 to create a custom base. 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Rate type is "other" and base type is "custom" unhide row 163 to create a custom base.  </t>
        </r>
      </text>
    </comment>
  </commentList>
</comments>
</file>

<file path=xl/comments5.xml><?xml version="1.0" encoding="utf-8"?>
<comments xmlns="http://schemas.openxmlformats.org/spreadsheetml/2006/main">
  <authors>
    <author>Alyssa Bunn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 of months for shorter first period.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project period is less than 12 months (3 for example), 100% will equal 100% of that period of time- 3 moinths in the example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Alyssa Bun
</t>
        </r>
        <r>
          <rPr>
            <sz val="9"/>
            <color indexed="81"/>
            <rFont val="Tahoma"/>
            <family val="2"/>
          </rPr>
          <t>You should only choose "No" if sponsor policy does not allow fringe projections (e.g., Some DOE and NIH)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</rPr>
          <t>Rate codes by title code available at: http://accounting.ucdavis.edu/costing/</t>
        </r>
      </text>
    </comment>
    <comment ref="D35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F-SMRA: 6/15-9/15 
F-SMRB: 7/1-9/15
F-SMRC: 7/1-9/1
Summer calculation based on effort; if % effort exceeds available summer, excess is calculated at highest rate for period.
?s- aabunn@ucadvis.edu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for  your reference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UC is always excluded from the IC Base- even when using TDC or TC.</t>
        </r>
      </text>
    </comment>
    <comment ref="I158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#GSRs to calculate by # of students; #Qrts to calculate by quarters.  Both fields can take decimals</t>
        </r>
      </text>
    </comment>
    <comment ref="D208" authorId="0" shapeId="0">
      <text>
        <r>
          <rPr>
            <b/>
            <sz val="9"/>
            <color indexed="81"/>
            <rFont val="Tahoma"/>
            <family val="2"/>
          </rPr>
          <t xml:space="preserve">Base information will appear below if you choose "other" as the rate type. </t>
        </r>
      </text>
    </comment>
    <comment ref="A210" authorId="0" shapeId="0">
      <text>
        <r>
          <rPr>
            <b/>
            <sz val="9"/>
            <color indexed="81"/>
            <rFont val="Tahoma"/>
            <family val="2"/>
          </rPr>
          <t xml:space="preserve">If Rate type is "other" and base type is "custom" unhide row 163 to create a custom base. 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Rate type is "other" and base type is "custom" unhide row 163 to create a custom base.  </t>
        </r>
      </text>
    </comment>
  </commentList>
</comments>
</file>

<file path=xl/sharedStrings.xml><?xml version="1.0" encoding="utf-8"?>
<sst xmlns="http://schemas.openxmlformats.org/spreadsheetml/2006/main" count="3625" uniqueCount="253">
  <si>
    <t>Project Information</t>
  </si>
  <si>
    <t>Start Date:</t>
  </si>
  <si>
    <t>End Date:</t>
  </si>
  <si>
    <t>Reference Information</t>
  </si>
  <si>
    <t>Personnel</t>
  </si>
  <si>
    <t>Total Salaries</t>
  </si>
  <si>
    <t>Code</t>
  </si>
  <si>
    <t>Total Benefits</t>
  </si>
  <si>
    <t>PI(s):</t>
  </si>
  <si>
    <t>Year 1</t>
  </si>
  <si>
    <t>Year 2</t>
  </si>
  <si>
    <t>Year 3</t>
  </si>
  <si>
    <t>Year 5</t>
  </si>
  <si>
    <t>Total</t>
  </si>
  <si>
    <t>Type</t>
  </si>
  <si>
    <t>A</t>
  </si>
  <si>
    <t>B</t>
  </si>
  <si>
    <t>Benefits by Person</t>
  </si>
  <si>
    <t>%</t>
  </si>
  <si>
    <t>F</t>
  </si>
  <si>
    <t>D</t>
  </si>
  <si>
    <t>Total Personnel</t>
  </si>
  <si>
    <t>I</t>
  </si>
  <si>
    <t>Initial Fiscal Year:</t>
  </si>
  <si>
    <t>Year 4</t>
  </si>
  <si>
    <t>Project</t>
  </si>
  <si>
    <t>Months in Project Year:</t>
  </si>
  <si>
    <t>Months to fiscal Year:</t>
  </si>
  <si>
    <t>Remaining Months in PY:</t>
  </si>
  <si>
    <t>Current Fringe Rates</t>
  </si>
  <si>
    <t xml:space="preserve">C </t>
  </si>
  <si>
    <t>E</t>
  </si>
  <si>
    <t>G</t>
  </si>
  <si>
    <t>H</t>
  </si>
  <si>
    <t>14/15</t>
  </si>
  <si>
    <t>15/16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</si>
  <si>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</si>
  <si>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</si>
  <si>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</si>
  <si>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</si>
  <si>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</si>
  <si>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</si>
  <si>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</si>
  <si>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</si>
  <si>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16/17</t>
  </si>
  <si>
    <t>Project Fringe Rates</t>
  </si>
  <si>
    <t>Rate 1</t>
  </si>
  <si>
    <t>Rate 2</t>
  </si>
  <si>
    <t xml:space="preserve">Next Fiscal Year Date: </t>
  </si>
  <si>
    <t>Months at Rate 2:</t>
  </si>
  <si>
    <t>Months at Rate1:</t>
  </si>
  <si>
    <t>F-SMR</t>
  </si>
  <si>
    <t>Choose</t>
  </si>
  <si>
    <t>SMR Before FY:</t>
  </si>
  <si>
    <t>SMR After FY:</t>
  </si>
  <si>
    <t>Short Year Summer1:</t>
  </si>
  <si>
    <t>Short Year Summer2:</t>
  </si>
  <si>
    <t>Escalation:</t>
  </si>
  <si>
    <t>Todays Date</t>
  </si>
  <si>
    <t>Months till Next FY</t>
  </si>
  <si>
    <t>Current FY</t>
  </si>
  <si>
    <t>Next FY Date</t>
  </si>
  <si>
    <t>Months till start</t>
  </si>
  <si>
    <t># of fiscal years till start</t>
  </si>
  <si>
    <t>/12</t>
  </si>
  <si>
    <t>Travel</t>
  </si>
  <si>
    <t>Total Travel</t>
  </si>
  <si>
    <t>Supplies</t>
  </si>
  <si>
    <t>Total Supplies</t>
  </si>
  <si>
    <t>Subaward Costs</t>
  </si>
  <si>
    <t>Total Subaward Costs</t>
  </si>
  <si>
    <t>Consultant/Service Agreement Costs</t>
  </si>
  <si>
    <t>Total Other Contractual Costs</t>
  </si>
  <si>
    <t>Total Subaward/Contractual Costs</t>
  </si>
  <si>
    <t>Other Expenses</t>
  </si>
  <si>
    <t>Resident</t>
  </si>
  <si>
    <t>Non-Resident</t>
  </si>
  <si>
    <t>GSR Tuition/Fees</t>
  </si>
  <si>
    <t>Total GSR Tuition/Fees:</t>
  </si>
  <si>
    <t>Other Direct Costs exempt from Indirect costs</t>
  </si>
  <si>
    <t>Other Direct Costs Subject to Indirect Costs</t>
  </si>
  <si>
    <t>Total Other Direct Costs</t>
  </si>
  <si>
    <t>Total Direct Costs</t>
  </si>
  <si>
    <t>Indirect Cost Base</t>
  </si>
  <si>
    <t>Indirect Costs</t>
  </si>
  <si>
    <t>Total Costs (Direct + Indirect)</t>
  </si>
  <si>
    <t>Rate Type:</t>
  </si>
  <si>
    <t>Indirect Rates</t>
  </si>
  <si>
    <t>On-Campus Research</t>
  </si>
  <si>
    <t>Off-Campus Research</t>
  </si>
  <si>
    <t>On-Campus Other Sponsored Activities</t>
  </si>
  <si>
    <t>Off-Campus Other Sponsored Activities</t>
  </si>
  <si>
    <t>Instruction</t>
  </si>
  <si>
    <t>Primate Center Federal</t>
  </si>
  <si>
    <t>Primate Center Non-Federal</t>
  </si>
  <si>
    <t>Other:</t>
  </si>
  <si>
    <t>Current Indirect Cost Rates</t>
  </si>
  <si>
    <t>Base Type:</t>
  </si>
  <si>
    <t>MTDC</t>
  </si>
  <si>
    <r>
      <t xml:space="preserve">Other: </t>
    </r>
    <r>
      <rPr>
        <sz val="11"/>
        <color rgb="FFFF0000"/>
        <rFont val="Cambria"/>
        <family val="1"/>
      </rPr>
      <t>(Enter Info Below)</t>
    </r>
  </si>
  <si>
    <t>Rate (%):</t>
  </si>
  <si>
    <t>Custom Indirect Cost Base</t>
  </si>
  <si>
    <t xml:space="preserve">Create a Custom base formula: </t>
  </si>
  <si>
    <t>Next Academic Year:</t>
  </si>
  <si>
    <t>Months till Next AY</t>
  </si>
  <si>
    <t>Months till Start</t>
  </si>
  <si>
    <t># of AY till Start</t>
  </si>
  <si>
    <t>Rates Used</t>
  </si>
  <si>
    <t>Rates as Shown</t>
  </si>
  <si>
    <t>Subaward Totals</t>
  </si>
  <si>
    <t>UC?</t>
  </si>
  <si>
    <t>Non-UC</t>
  </si>
  <si>
    <t>Total:</t>
  </si>
  <si>
    <t>Subaward Subject to Indirect MTDC</t>
  </si>
  <si>
    <t>Subaward Subject to Indirect TC/TDC</t>
  </si>
  <si>
    <t>TDC</t>
  </si>
  <si>
    <t>TC</t>
  </si>
  <si>
    <t>Type:</t>
  </si>
  <si>
    <t>Academic months 1:</t>
  </si>
  <si>
    <t>Academic months 2:</t>
  </si>
  <si>
    <t>AY1 with Short Years:</t>
  </si>
  <si>
    <t>AY2 with Short Years:</t>
  </si>
  <si>
    <t>Graduate Student Fee Escalations</t>
  </si>
  <si>
    <t>Rate 3</t>
  </si>
  <si>
    <t>Rate 4</t>
  </si>
  <si>
    <t>Rate 5</t>
  </si>
  <si>
    <t>Rate 6</t>
  </si>
  <si>
    <t>Faculty Summer Salary-Shown</t>
  </si>
  <si>
    <t>Faculty Summer Salary-Rate Split</t>
  </si>
  <si>
    <t>Faculty Summer Rates</t>
  </si>
  <si>
    <t>Fringe Shown for Faculty Summer</t>
  </si>
  <si>
    <t>Faculty Summer $</t>
  </si>
  <si>
    <t>Indirect Cost Split for Sponsor Forms</t>
  </si>
  <si>
    <t>Escal</t>
  </si>
  <si>
    <t>Period 1</t>
  </si>
  <si>
    <t>Period 2</t>
  </si>
  <si>
    <t>Period 3</t>
  </si>
  <si>
    <t>Period 5</t>
  </si>
  <si>
    <t>Name/Role:</t>
  </si>
  <si>
    <t>Period 4</t>
  </si>
  <si>
    <t>International?</t>
  </si>
  <si>
    <t>F-SMRA</t>
  </si>
  <si>
    <t>F-SMRB</t>
  </si>
  <si>
    <t>F-SMRC</t>
  </si>
  <si>
    <t>Faculty Summer Available Months</t>
  </si>
  <si>
    <t>R1</t>
  </si>
  <si>
    <t>R2</t>
  </si>
  <si>
    <t>R1 Short:</t>
  </si>
  <si>
    <t>R2: Short</t>
  </si>
  <si>
    <t>R1: Short</t>
  </si>
  <si>
    <t>Yes</t>
  </si>
  <si>
    <t xml:space="preserve">Proposal Due Date/Archive: </t>
  </si>
  <si>
    <t>Escalations to fringe?</t>
  </si>
  <si>
    <t xml:space="preserve">Equipment </t>
  </si>
  <si>
    <t>Total Equipment</t>
  </si>
  <si>
    <t>P1</t>
  </si>
  <si>
    <t>P2</t>
  </si>
  <si>
    <t>P3</t>
  </si>
  <si>
    <t>P4</t>
  </si>
  <si>
    <t>P5</t>
  </si>
  <si>
    <t>#GSRs</t>
  </si>
  <si>
    <t>Name or Notes</t>
  </si>
  <si>
    <t>Buy Down?</t>
  </si>
  <si>
    <t xml:space="preserve">Rates </t>
  </si>
  <si>
    <t>Discount Y/N</t>
  </si>
  <si>
    <t>Tuition Months available</t>
  </si>
  <si>
    <t>Quarters Available</t>
  </si>
  <si>
    <t>Salary</t>
  </si>
  <si>
    <t>Project Period % Effort</t>
  </si>
  <si>
    <t>Per 1</t>
  </si>
  <si>
    <t>Per 2</t>
  </si>
  <si>
    <t>Per 3</t>
  </si>
  <si>
    <t>Per4</t>
  </si>
  <si>
    <t>Per5</t>
  </si>
  <si>
    <t>Person Months (For agency forms)</t>
  </si>
  <si>
    <t>Summer Fringe Benefits Split (For SPO/Calc Check)
(Months) Fringe Rate</t>
  </si>
  <si>
    <t>CAL</t>
  </si>
  <si>
    <t>FY Split:</t>
  </si>
  <si>
    <t>Salary Basis</t>
  </si>
  <si>
    <t>Use Buydown</t>
  </si>
  <si>
    <t>Other</t>
  </si>
  <si>
    <t>Faculty Base Salary- 12 months</t>
  </si>
  <si>
    <t>Faculty Base Salary- 11 months</t>
  </si>
  <si>
    <t>Faculty Base Salary- 9 months</t>
  </si>
  <si>
    <t>*</t>
  </si>
  <si>
    <t>Total Direct Cost for NIH Limit (when limit does not include subaward indirect costs)</t>
  </si>
  <si>
    <t>Title:</t>
  </si>
  <si>
    <t xml:space="preserve">Total Subaward Indirect Costs: </t>
  </si>
  <si>
    <t>Type of Subaward</t>
  </si>
  <si>
    <t>`</t>
  </si>
  <si>
    <t>Total Domestic Travel</t>
  </si>
  <si>
    <t>Total International Travel</t>
  </si>
  <si>
    <t>No</t>
  </si>
  <si>
    <t>Total Graduate Students</t>
  </si>
  <si>
    <t>Total Undergraduate Students</t>
  </si>
  <si>
    <t>Total Clerical</t>
  </si>
  <si>
    <t>Postdoctoral Associates</t>
  </si>
  <si>
    <t>Grants.gov Other Personnel Composite Categories</t>
  </si>
  <si>
    <t>Personnel Type? (Choose Below)</t>
  </si>
  <si>
    <t>Fringe</t>
  </si>
  <si>
    <t>Person Months in Each Category</t>
  </si>
  <si>
    <t>Fiscal Year Ranges for Split</t>
  </si>
  <si>
    <t>Project Period 1</t>
  </si>
  <si>
    <t>Project Period 2</t>
  </si>
  <si>
    <t>Project Period 3</t>
  </si>
  <si>
    <t>Project Period 4</t>
  </si>
  <si>
    <t>Project Period 5</t>
  </si>
  <si>
    <t>Request Budget</t>
  </si>
  <si>
    <t xml:space="preserve">Base  </t>
  </si>
  <si>
    <t>Primate Center Base</t>
  </si>
  <si>
    <t>Primate</t>
  </si>
  <si>
    <t>Total Indirect</t>
  </si>
  <si>
    <t>Total Annual Requested Indirect</t>
  </si>
  <si>
    <t>Annual Salary</t>
  </si>
  <si>
    <t xml:space="preserve"> Base Salary (For agency forms)</t>
  </si>
  <si>
    <t>FY</t>
  </si>
  <si>
    <t>Primate Center Costs</t>
  </si>
  <si>
    <t>Senior/Key</t>
  </si>
  <si>
    <t>PY</t>
  </si>
  <si>
    <t>Salary is all 12 months? (CAL or AY + SMR)</t>
  </si>
  <si>
    <t>Multi</t>
  </si>
  <si>
    <t>12 Months</t>
  </si>
  <si>
    <t>Federal</t>
  </si>
  <si>
    <t>Non-NIH</t>
  </si>
  <si>
    <t>Other Direct Costs</t>
  </si>
  <si>
    <t>AY</t>
  </si>
  <si>
    <t>INSTRUCTIONS</t>
  </si>
  <si>
    <t>NIH</t>
  </si>
  <si>
    <t>Complete the pilot project budget tab for all pilot project applications.</t>
  </si>
  <si>
    <t>A detailed budget is required for the overall pilot project and each subcontract.</t>
  </si>
  <si>
    <t>Type 1 - 12 months - $20,000-$30,000 direct costs</t>
  </si>
  <si>
    <t>Type 2 - 24 months - $30,000 direct costs per year</t>
  </si>
  <si>
    <t>Type 4 - 12 months - $10,000-$20,000 direct costs</t>
  </si>
  <si>
    <t>Type 3 - 12 months - $50,000 direct costs</t>
  </si>
  <si>
    <t>MECHANISMS FOR 2017 CYCLE (REFER TO RFA FOR DETAILED DESCRIPTIONS AND ELIGIBILTY INFORMATION):</t>
  </si>
  <si>
    <t>Subcontact F&amp;A costs are included in the direct cost limits for each award type.</t>
  </si>
  <si>
    <t>ALLOWABLE AND UNALLOWABLE EXPENSES</t>
  </si>
  <si>
    <t>1. Publication costs are unallowable</t>
  </si>
  <si>
    <t>Cost sharing is not expected or required, and is not considered in the review process.</t>
  </si>
  <si>
    <t xml:space="preserve"> Any voluntarily committed cost sharing, including faculty or staff effort, must be verifiable if a project is funded.</t>
  </si>
  <si>
    <t>START DATE FOR ALL 2017 CYCLE AWARDS WILL BE 4/1/18.</t>
  </si>
  <si>
    <t>Equipment (&gt;$5,000 per item)</t>
  </si>
  <si>
    <t>Travel (include destination, purpose, # of travelers)</t>
  </si>
  <si>
    <t>Subcontract 1 (name)</t>
  </si>
  <si>
    <t>Subcontract 2 (name)</t>
  </si>
  <si>
    <t>2. Professional and other conference travel is unallowable. Travel for data/sample collection and to work with pilot project community partners is allowable</t>
  </si>
  <si>
    <t>3. Food and entertainment costs are unallowable. Meals for individuals while on travel status are allowable (see #2).</t>
  </si>
  <si>
    <r>
      <t xml:space="preserve">Generally, expenses allowable </t>
    </r>
    <r>
      <rPr>
        <b/>
        <sz val="11"/>
        <color theme="1"/>
        <rFont val="Calibri"/>
        <family val="2"/>
        <scheme val="minor"/>
      </rPr>
      <t>as direct costs</t>
    </r>
    <r>
      <rPr>
        <sz val="11"/>
        <color theme="1"/>
        <rFont val="Calibri"/>
        <family val="2"/>
        <scheme val="minor"/>
      </rPr>
      <t xml:space="preserve"> on an NIH grant are allowable on a pilot project, with the following EXCEPTIONS:</t>
    </r>
  </si>
  <si>
    <t>Complete the Subcontract 1 and Subcontract 2 tabs only if your pilot project includes agreements to community groups or other organizations.</t>
  </si>
  <si>
    <t xml:space="preserve">Do not include UC Davis indirect (F&amp;A costs) in your budget. </t>
  </si>
  <si>
    <t>Other subcontractors may elect to use the de minimus rate of 10% of MTDC. This is optional.</t>
  </si>
  <si>
    <t>Subcontractors with federally-approved F&amp;A rate agreements should include applicable F&amp;A costs.</t>
  </si>
  <si>
    <t>Budget questions: Contact Phillippa Savage, psavage@ucdavis.edu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</si>
</sst>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&quot;$&quot;#,##0"/>
    <numFmt numFmtId="168" formatCode="_(* #,##0.000_);_(* \(#,##0.000\);_(* &quot;-&quot;??_);_(@_)"/>
    <numFmt numFmtId="169" formatCode="0.0%"/>
    <numFmt numFmtId="170" formatCode="_(* #,##0.0000_);_(* \(#,##0.0000\);_(* &quot;-&quot;??_);_(@_)"/>
    <numFmt numFmtId="171" formatCode="0.0000"/>
    <numFmt numFmtId="172" formatCode="_(* #,##0.0_);_(* \(#,##0.0\);_(* &quot;-&quot;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name val="Cambria"/>
      <family val="1"/>
    </font>
    <font>
      <sz val="11"/>
      <color rgb="FFFF0000"/>
      <name val="Cambria"/>
      <family val="1"/>
    </font>
    <font>
      <sz val="9"/>
      <color theme="1"/>
      <name val="Cambria"/>
      <family val="1"/>
    </font>
    <font>
      <sz val="9"/>
      <color theme="0"/>
      <name val="Cambria"/>
      <family val="1"/>
    </font>
    <font>
      <b/>
      <sz val="9"/>
      <color rgb="FFC0000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11"/>
      <color theme="5"/>
      <name val="Cambria"/>
      <family val="1"/>
    </font>
    <font>
      <i/>
      <sz val="11"/>
      <color theme="1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Cambria"/>
      <family val="1"/>
    </font>
    <font>
      <sz val="9"/>
      <color indexed="81"/>
      <name val="Tahoma"/>
      <family val="2"/>
    </font>
    <font>
      <b/>
      <sz val="11"/>
      <color theme="5" tint="-0.249977111117893"/>
      <name val="Cambria"/>
      <family val="1"/>
    </font>
    <font>
      <b/>
      <sz val="8"/>
      <color indexed="81"/>
      <name val="Tahoma"/>
      <family val="2"/>
    </font>
    <font>
      <b/>
      <sz val="8"/>
      <color indexed="81"/>
      <name val="Cambria"/>
      <family val="1"/>
    </font>
    <font>
      <b/>
      <sz val="9"/>
      <color theme="5" tint="-0.249977111117893"/>
      <name val="Cambria"/>
      <family val="1"/>
    </font>
    <font>
      <b/>
      <i/>
      <sz val="9"/>
      <color rgb="FFC00000"/>
      <name val="Cambria"/>
      <family val="1"/>
    </font>
    <font>
      <b/>
      <sz val="8"/>
      <name val="Cambria"/>
      <family val="1"/>
    </font>
    <font>
      <sz val="9"/>
      <color theme="1"/>
      <name val="Calibri"/>
      <family val="2"/>
      <scheme val="minor"/>
    </font>
    <font>
      <b/>
      <sz val="9"/>
      <color theme="8" tint="-0.249977111117893"/>
      <name val="Cambria"/>
      <family val="1"/>
    </font>
    <font>
      <b/>
      <i/>
      <sz val="9"/>
      <color theme="8" tint="-0.249977111117893"/>
      <name val="Cambria"/>
      <family val="1"/>
    </font>
    <font>
      <b/>
      <sz val="11"/>
      <color theme="4" tint="-0.499984740745262"/>
      <name val="Cambria"/>
      <family val="1"/>
    </font>
    <font>
      <b/>
      <sz val="11"/>
      <name val="Cambria"/>
      <family val="1"/>
    </font>
    <font>
      <i/>
      <sz val="11"/>
      <color theme="1"/>
      <name val="Calibri"/>
      <family val="2"/>
      <scheme val="minor"/>
    </font>
    <font>
      <b/>
      <i/>
      <sz val="9"/>
      <color theme="8" tint="-0.49998474074526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  <scheme val="minor"/>
    </font>
    <font>
      <sz val="9"/>
      <color theme="2" tint="-0.499984740745262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4" xfId="0" applyFont="1" applyFill="1" applyBorder="1"/>
    <xf numFmtId="1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/>
    <xf numFmtId="14" fontId="2" fillId="2" borderId="0" xfId="0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4" xfId="1" applyNumberFormat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43" fontId="2" fillId="2" borderId="0" xfId="0" applyNumberFormat="1" applyFont="1" applyFill="1"/>
    <xf numFmtId="43" fontId="2" fillId="2" borderId="0" xfId="1" applyNumberFormat="1" applyFont="1" applyFill="1"/>
    <xf numFmtId="0" fontId="2" fillId="2" borderId="4" xfId="0" applyFont="1" applyFill="1" applyBorder="1" applyAlignment="1">
      <alignment horizontal="center"/>
    </xf>
    <xf numFmtId="166" fontId="2" fillId="2" borderId="4" xfId="0" applyNumberFormat="1" applyFont="1" applyFill="1" applyBorder="1"/>
    <xf numFmtId="43" fontId="2" fillId="2" borderId="4" xfId="1" applyFont="1" applyFill="1" applyBorder="1" applyAlignment="1">
      <alignment horizontal="right" wrapText="1"/>
    </xf>
    <xf numFmtId="43" fontId="2" fillId="2" borderId="0" xfId="1" applyFont="1" applyFill="1" applyBorder="1"/>
    <xf numFmtId="0" fontId="2" fillId="2" borderId="0" xfId="0" applyFont="1" applyFill="1" applyBorder="1"/>
    <xf numFmtId="16" fontId="2" fillId="2" borderId="0" xfId="0" applyNumberFormat="1" applyFont="1" applyFill="1" applyBorder="1"/>
    <xf numFmtId="43" fontId="2" fillId="2" borderId="0" xfId="0" applyNumberFormat="1" applyFont="1" applyFill="1" applyBorder="1"/>
    <xf numFmtId="9" fontId="2" fillId="2" borderId="4" xfId="0" applyNumberFormat="1" applyFont="1" applyFill="1" applyBorder="1"/>
    <xf numFmtId="43" fontId="2" fillId="2" borderId="0" xfId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right"/>
    </xf>
    <xf numFmtId="14" fontId="2" fillId="2" borderId="15" xfId="0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right"/>
    </xf>
    <xf numFmtId="14" fontId="2" fillId="2" borderId="12" xfId="0" applyNumberFormat="1" applyFont="1" applyFill="1" applyBorder="1" applyAlignment="1">
      <alignment horizontal="right"/>
    </xf>
    <xf numFmtId="14" fontId="2" fillId="2" borderId="13" xfId="0" applyNumberFormat="1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9" fontId="2" fillId="2" borderId="4" xfId="2" applyFont="1" applyFill="1" applyBorder="1"/>
    <xf numFmtId="9" fontId="2" fillId="2" borderId="0" xfId="2" applyFont="1" applyFill="1"/>
    <xf numFmtId="0" fontId="10" fillId="2" borderId="0" xfId="0" applyFont="1" applyFill="1"/>
    <xf numFmtId="0" fontId="2" fillId="2" borderId="4" xfId="0" applyFont="1" applyFill="1" applyBorder="1" applyAlignment="1">
      <alignment horizontal="left"/>
    </xf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2" fillId="2" borderId="0" xfId="1" applyNumberFormat="1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5" xfId="0" applyFont="1" applyFill="1" applyBorder="1"/>
    <xf numFmtId="14" fontId="10" fillId="2" borderId="0" xfId="0" applyNumberFormat="1" applyFont="1" applyFill="1"/>
    <xf numFmtId="0" fontId="10" fillId="4" borderId="2" xfId="0" applyFont="1" applyFill="1" applyBorder="1"/>
    <xf numFmtId="0" fontId="6" fillId="4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4" fontId="6" fillId="2" borderId="0" xfId="1" applyNumberFormat="1" applyFont="1" applyFill="1" applyBorder="1"/>
    <xf numFmtId="0" fontId="14" fillId="4" borderId="2" xfId="0" applyFont="1" applyFill="1" applyBorder="1"/>
    <xf numFmtId="0" fontId="14" fillId="4" borderId="4" xfId="0" applyFont="1" applyFill="1" applyBorder="1"/>
    <xf numFmtId="0" fontId="14" fillId="4" borderId="3" xfId="0" applyFont="1" applyFill="1" applyBorder="1"/>
    <xf numFmtId="0" fontId="10" fillId="4" borderId="3" xfId="0" applyFont="1" applyFill="1" applyBorder="1"/>
    <xf numFmtId="0" fontId="7" fillId="4" borderId="1" xfId="0" applyFont="1" applyFill="1" applyBorder="1"/>
    <xf numFmtId="0" fontId="10" fillId="4" borderId="2" xfId="0" applyFont="1" applyFill="1" applyBorder="1" applyAlignment="1"/>
    <xf numFmtId="0" fontId="10" fillId="2" borderId="1" xfId="0" applyFont="1" applyFill="1" applyBorder="1"/>
    <xf numFmtId="0" fontId="10" fillId="2" borderId="15" xfId="0" applyFont="1" applyFill="1" applyBorder="1"/>
    <xf numFmtId="0" fontId="7" fillId="2" borderId="1" xfId="0" applyFont="1" applyFill="1" applyBorder="1"/>
    <xf numFmtId="37" fontId="10" fillId="2" borderId="4" xfId="1" applyNumberFormat="1" applyFont="1" applyFill="1" applyBorder="1"/>
    <xf numFmtId="37" fontId="15" fillId="2" borderId="3" xfId="0" applyNumberFormat="1" applyFont="1" applyFill="1" applyBorder="1"/>
    <xf numFmtId="0" fontId="10" fillId="4" borderId="6" xfId="0" applyFont="1" applyFill="1" applyBorder="1"/>
    <xf numFmtId="0" fontId="10" fillId="4" borderId="10" xfId="0" applyFont="1" applyFill="1" applyBorder="1"/>
    <xf numFmtId="167" fontId="6" fillId="4" borderId="4" xfId="4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4" xfId="1" applyFont="1" applyFill="1" applyBorder="1"/>
    <xf numFmtId="0" fontId="8" fillId="4" borderId="2" xfId="0" applyFont="1" applyFill="1" applyBorder="1"/>
    <xf numFmtId="0" fontId="17" fillId="2" borderId="4" xfId="0" applyFont="1" applyFill="1" applyBorder="1" applyAlignment="1">
      <alignment horizontal="right"/>
    </xf>
    <xf numFmtId="14" fontId="17" fillId="2" borderId="4" xfId="0" applyNumberFormat="1" applyFont="1" applyFill="1" applyBorder="1" applyAlignment="1">
      <alignment horizontal="right"/>
    </xf>
    <xf numFmtId="43" fontId="17" fillId="2" borderId="4" xfId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5" fontId="2" fillId="2" borderId="0" xfId="0" applyNumberFormat="1" applyFont="1" applyFill="1"/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2" fillId="2" borderId="0" xfId="0" applyFont="1" applyFill="1" applyBorder="1" applyAlignment="1">
      <alignment vertical="center"/>
    </xf>
    <xf numFmtId="0" fontId="18" fillId="2" borderId="4" xfId="0" applyFont="1" applyFill="1" applyBorder="1"/>
    <xf numFmtId="168" fontId="3" fillId="2" borderId="4" xfId="1" applyNumberFormat="1" applyFont="1" applyFill="1" applyBorder="1" applyAlignment="1"/>
    <xf numFmtId="0" fontId="13" fillId="4" borderId="2" xfId="0" applyFont="1" applyFill="1" applyBorder="1" applyAlignment="1">
      <alignment horizontal="left"/>
    </xf>
    <xf numFmtId="14" fontId="2" fillId="2" borderId="0" xfId="0" applyNumberFormat="1" applyFont="1" applyFill="1"/>
    <xf numFmtId="37" fontId="10" fillId="2" borderId="4" xfId="0" applyNumberFormat="1" applyFont="1" applyFill="1" applyBorder="1"/>
    <xf numFmtId="3" fontId="10" fillId="2" borderId="4" xfId="0" applyNumberFormat="1" applyFont="1" applyFill="1" applyBorder="1"/>
    <xf numFmtId="3" fontId="14" fillId="4" borderId="4" xfId="0" applyNumberFormat="1" applyFont="1" applyFill="1" applyBorder="1"/>
    <xf numFmtId="37" fontId="8" fillId="4" borderId="4" xfId="0" applyNumberFormat="1" applyFont="1" applyFill="1" applyBorder="1"/>
    <xf numFmtId="3" fontId="10" fillId="2" borderId="4" xfId="1" applyNumberFormat="1" applyFont="1" applyFill="1" applyBorder="1"/>
    <xf numFmtId="3" fontId="8" fillId="4" borderId="4" xfId="0" applyNumberFormat="1" applyFont="1" applyFill="1" applyBorder="1"/>
    <xf numFmtId="0" fontId="6" fillId="2" borderId="11" xfId="0" applyFont="1" applyFill="1" applyBorder="1" applyAlignment="1">
      <alignment horizontal="left"/>
    </xf>
    <xf numFmtId="0" fontId="10" fillId="2" borderId="9" xfId="0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10" fillId="2" borderId="1" xfId="1" applyNumberFormat="1" applyFont="1" applyFill="1" applyBorder="1" applyAlignment="1"/>
    <xf numFmtId="0" fontId="7" fillId="2" borderId="4" xfId="0" applyFont="1" applyFill="1" applyBorder="1" applyAlignment="1">
      <alignment horizontal="right"/>
    </xf>
    <xf numFmtId="3" fontId="15" fillId="2" borderId="4" xfId="0" applyNumberFormat="1" applyFont="1" applyFill="1" applyBorder="1"/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14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0" xfId="0" applyFont="1" applyFill="1" applyBorder="1"/>
    <xf numFmtId="0" fontId="10" fillId="2" borderId="13" xfId="0" applyFont="1" applyFill="1" applyBorder="1"/>
    <xf numFmtId="14" fontId="2" fillId="2" borderId="4" xfId="1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3" fontId="2" fillId="2" borderId="4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23" fillId="2" borderId="4" xfId="0" applyFont="1" applyFill="1" applyBorder="1"/>
    <xf numFmtId="9" fontId="6" fillId="4" borderId="5" xfId="0" applyNumberFormat="1" applyFont="1" applyFill="1" applyBorder="1" applyAlignment="1">
      <alignment horizontal="center"/>
    </xf>
    <xf numFmtId="170" fontId="2" fillId="2" borderId="4" xfId="1" applyNumberFormat="1" applyFont="1" applyFill="1" applyBorder="1" applyAlignment="1">
      <alignment horizontal="right"/>
    </xf>
    <xf numFmtId="169" fontId="2" fillId="2" borderId="4" xfId="2" applyNumberFormat="1" applyFont="1" applyFill="1" applyBorder="1"/>
    <xf numFmtId="0" fontId="14" fillId="4" borderId="6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1" fontId="3" fillId="2" borderId="4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0" fillId="2" borderId="0" xfId="0" applyFill="1"/>
    <xf numFmtId="43" fontId="10" fillId="2" borderId="4" xfId="1" applyFont="1" applyFill="1" applyBorder="1"/>
    <xf numFmtId="0" fontId="6" fillId="2" borderId="4" xfId="0" applyFont="1" applyFill="1" applyBorder="1" applyAlignment="1">
      <alignment horizontal="left"/>
    </xf>
    <xf numFmtId="0" fontId="29" fillId="2" borderId="0" xfId="0" applyFont="1" applyFill="1"/>
    <xf numFmtId="165" fontId="2" fillId="2" borderId="4" xfId="0" applyNumberFormat="1" applyFont="1" applyFill="1" applyBorder="1"/>
    <xf numFmtId="0" fontId="6" fillId="6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167" fontId="30" fillId="2" borderId="4" xfId="4" applyNumberFormat="1" applyFont="1" applyFill="1" applyBorder="1"/>
    <xf numFmtId="167" fontId="31" fillId="2" borderId="4" xfId="4" applyNumberFormat="1" applyFont="1" applyFill="1" applyBorder="1"/>
    <xf numFmtId="164" fontId="10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164" fontId="10" fillId="2" borderId="0" xfId="1" applyNumberFormat="1" applyFont="1" applyFill="1" applyBorder="1" applyAlignment="1"/>
    <xf numFmtId="164" fontId="10" fillId="2" borderId="0" xfId="1" applyNumberFormat="1" applyFont="1" applyFill="1" applyBorder="1" applyAlignment="1">
      <alignment horizontal="center"/>
    </xf>
    <xf numFmtId="43" fontId="10" fillId="2" borderId="0" xfId="1" applyFont="1" applyFill="1" applyBorder="1"/>
    <xf numFmtId="0" fontId="10" fillId="2" borderId="0" xfId="0" applyFont="1" applyFill="1" applyBorder="1" applyAlignment="1">
      <alignment horizontal="center"/>
    </xf>
    <xf numFmtId="43" fontId="10" fillId="2" borderId="1" xfId="1" applyNumberFormat="1" applyFont="1" applyFill="1" applyBorder="1" applyAlignment="1"/>
    <xf numFmtId="43" fontId="6" fillId="6" borderId="4" xfId="0" applyNumberFormat="1" applyFont="1" applyFill="1" applyBorder="1" applyAlignment="1">
      <alignment horizontal="center"/>
    </xf>
    <xf numFmtId="164" fontId="0" fillId="2" borderId="0" xfId="0" applyNumberFormat="1" applyFill="1"/>
    <xf numFmtId="37" fontId="6" fillId="5" borderId="4" xfId="1" applyNumberFormat="1" applyFont="1" applyFill="1" applyBorder="1"/>
    <xf numFmtId="3" fontId="6" fillId="5" borderId="4" xfId="1" applyNumberFormat="1" applyFont="1" applyFill="1" applyBorder="1"/>
    <xf numFmtId="0" fontId="14" fillId="5" borderId="2" xfId="0" applyFont="1" applyFill="1" applyBorder="1"/>
    <xf numFmtId="3" fontId="8" fillId="5" borderId="4" xfId="0" applyNumberFormat="1" applyFont="1" applyFill="1" applyBorder="1"/>
    <xf numFmtId="37" fontId="13" fillId="5" borderId="4" xfId="0" applyNumberFormat="1" applyFont="1" applyFill="1" applyBorder="1"/>
    <xf numFmtId="37" fontId="13" fillId="9" borderId="4" xfId="0" applyNumberFormat="1" applyFont="1" applyFill="1" applyBorder="1"/>
    <xf numFmtId="37" fontId="8" fillId="5" borderId="4" xfId="0" applyNumberFormat="1" applyFont="1" applyFill="1" applyBorder="1"/>
    <xf numFmtId="0" fontId="14" fillId="5" borderId="1" xfId="0" applyFont="1" applyFill="1" applyBorder="1"/>
    <xf numFmtId="0" fontId="14" fillId="5" borderId="3" xfId="0" applyFont="1" applyFill="1" applyBorder="1"/>
    <xf numFmtId="0" fontId="13" fillId="5" borderId="1" xfId="0" applyFont="1" applyFill="1" applyBorder="1" applyAlignment="1"/>
    <xf numFmtId="0" fontId="13" fillId="5" borderId="2" xfId="0" applyFont="1" applyFill="1" applyBorder="1" applyAlignment="1"/>
    <xf numFmtId="37" fontId="14" fillId="5" borderId="4" xfId="0" applyNumberFormat="1" applyFont="1" applyFill="1" applyBorder="1"/>
    <xf numFmtId="3" fontId="14" fillId="5" borderId="4" xfId="0" applyNumberFormat="1" applyFont="1" applyFill="1" applyBorder="1"/>
    <xf numFmtId="0" fontId="6" fillId="5" borderId="1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37" fontId="7" fillId="10" borderId="4" xfId="1" applyNumberFormat="1" applyFont="1" applyFill="1" applyBorder="1"/>
    <xf numFmtId="37" fontId="6" fillId="10" borderId="4" xfId="1" applyNumberFormat="1" applyFont="1" applyFill="1" applyBorder="1"/>
    <xf numFmtId="14" fontId="2" fillId="2" borderId="8" xfId="0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14" fontId="2" fillId="2" borderId="5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right"/>
    </xf>
    <xf numFmtId="169" fontId="2" fillId="2" borderId="14" xfId="0" applyNumberFormat="1" applyFont="1" applyFill="1" applyBorder="1" applyAlignment="1" applyProtection="1">
      <protection hidden="1"/>
    </xf>
    <xf numFmtId="169" fontId="2" fillId="2" borderId="12" xfId="0" applyNumberFormat="1" applyFont="1" applyFill="1" applyBorder="1" applyAlignment="1" applyProtection="1">
      <protection hidden="1"/>
    </xf>
    <xf numFmtId="164" fontId="2" fillId="2" borderId="14" xfId="0" applyNumberFormat="1" applyFont="1" applyFill="1" applyBorder="1" applyAlignment="1" applyProtection="1">
      <protection hidden="1"/>
    </xf>
    <xf numFmtId="164" fontId="18" fillId="2" borderId="12" xfId="0" applyNumberFormat="1" applyFont="1" applyFill="1" applyBorder="1" applyAlignment="1" applyProtection="1">
      <protection hidden="1"/>
    </xf>
    <xf numFmtId="0" fontId="2" fillId="2" borderId="5" xfId="0" applyFont="1" applyFill="1" applyBorder="1" applyAlignment="1">
      <alignment horizontal="right"/>
    </xf>
    <xf numFmtId="37" fontId="2" fillId="2" borderId="5" xfId="0" applyNumberFormat="1" applyFont="1" applyFill="1" applyBorder="1" applyAlignment="1" applyProtection="1">
      <protection hidden="1"/>
    </xf>
    <xf numFmtId="37" fontId="2" fillId="2" borderId="10" xfId="0" applyNumberFormat="1" applyFont="1" applyFill="1" applyBorder="1" applyAlignment="1" applyProtection="1">
      <protection hidden="1"/>
    </xf>
    <xf numFmtId="0" fontId="4" fillId="2" borderId="11" xfId="0" applyFont="1" applyFill="1" applyBorder="1" applyAlignment="1">
      <alignment horizontal="right"/>
    </xf>
    <xf numFmtId="164" fontId="18" fillId="2" borderId="12" xfId="1" applyNumberFormat="1" applyFont="1" applyFill="1" applyBorder="1" applyProtection="1">
      <protection hidden="1"/>
    </xf>
    <xf numFmtId="0" fontId="34" fillId="2" borderId="11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164" fontId="2" fillId="2" borderId="10" xfId="1" applyNumberFormat="1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37" fontId="10" fillId="2" borderId="4" xfId="1" applyNumberFormat="1" applyFont="1" applyFill="1" applyBorder="1" applyProtection="1">
      <protection hidden="1"/>
    </xf>
    <xf numFmtId="3" fontId="10" fillId="2" borderId="4" xfId="1" applyNumberFormat="1" applyFont="1" applyFill="1" applyBorder="1" applyProtection="1">
      <protection hidden="1"/>
    </xf>
    <xf numFmtId="37" fontId="6" fillId="5" borderId="4" xfId="1" applyNumberFormat="1" applyFont="1" applyFill="1" applyBorder="1" applyProtection="1">
      <protection hidden="1"/>
    </xf>
    <xf numFmtId="0" fontId="10" fillId="2" borderId="4" xfId="0" applyFont="1" applyFill="1" applyBorder="1" applyAlignment="1" applyProtection="1">
      <alignment horizontal="center"/>
      <protection locked="0"/>
    </xf>
    <xf numFmtId="9" fontId="11" fillId="2" borderId="3" xfId="0" applyNumberFormat="1" applyFont="1" applyFill="1" applyBorder="1" applyProtection="1"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64" fontId="10" fillId="2" borderId="2" xfId="0" applyNumberFormat="1" applyFont="1" applyFill="1" applyBorder="1" applyAlignment="1" applyProtection="1">
      <protection locked="0"/>
    </xf>
    <xf numFmtId="164" fontId="10" fillId="2" borderId="3" xfId="0" applyNumberFormat="1" applyFont="1" applyFill="1" applyBorder="1" applyAlignment="1" applyProtection="1">
      <protection locked="0"/>
    </xf>
    <xf numFmtId="164" fontId="10" fillId="2" borderId="1" xfId="1" applyNumberFormat="1" applyFont="1" applyFill="1" applyBorder="1" applyAlignment="1" applyProtection="1">
      <protection locked="0"/>
    </xf>
    <xf numFmtId="14" fontId="12" fillId="2" borderId="4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locked="0"/>
    </xf>
    <xf numFmtId="37" fontId="14" fillId="2" borderId="4" xfId="1" applyNumberFormat="1" applyFont="1" applyFill="1" applyBorder="1" applyProtection="1">
      <protection hidden="1"/>
    </xf>
    <xf numFmtId="3" fontId="6" fillId="5" borderId="4" xfId="1" applyNumberFormat="1" applyFont="1" applyFill="1" applyBorder="1" applyProtection="1">
      <protection hidden="1"/>
    </xf>
    <xf numFmtId="3" fontId="6" fillId="4" borderId="4" xfId="1" applyNumberFormat="1" applyFont="1" applyFill="1" applyBorder="1" applyProtection="1">
      <protection hidden="1"/>
    </xf>
    <xf numFmtId="0" fontId="10" fillId="2" borderId="2" xfId="0" applyFont="1" applyFill="1" applyBorder="1" applyProtection="1">
      <protection locked="0"/>
    </xf>
    <xf numFmtId="3" fontId="10" fillId="2" borderId="4" xfId="0" applyNumberFormat="1" applyFont="1" applyFill="1" applyBorder="1" applyProtection="1">
      <protection locked="0"/>
    </xf>
    <xf numFmtId="37" fontId="10" fillId="2" borderId="4" xfId="1" applyNumberFormat="1" applyFont="1" applyFill="1" applyBorder="1" applyProtection="1">
      <protection locked="0"/>
    </xf>
    <xf numFmtId="37" fontId="10" fillId="2" borderId="4" xfId="0" applyNumberFormat="1" applyFont="1" applyFill="1" applyBorder="1" applyProtection="1">
      <protection locked="0"/>
    </xf>
    <xf numFmtId="9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28" fillId="3" borderId="5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3" fontId="14" fillId="4" borderId="4" xfId="0" applyNumberFormat="1" applyFont="1" applyFill="1" applyBorder="1" applyProtection="1">
      <protection locked="0"/>
    </xf>
    <xf numFmtId="3" fontId="10" fillId="2" borderId="4" xfId="1" applyNumberFormat="1" applyFont="1" applyFill="1" applyBorder="1" applyProtection="1">
      <protection locked="0"/>
    </xf>
    <xf numFmtId="9" fontId="6" fillId="4" borderId="16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/>
    <xf numFmtId="172" fontId="2" fillId="2" borderId="0" xfId="0" applyNumberFormat="1" applyFont="1" applyFill="1"/>
    <xf numFmtId="0" fontId="3" fillId="5" borderId="8" xfId="0" applyFont="1" applyFill="1" applyBorder="1" applyAlignment="1" applyProtection="1">
      <alignment horizontal="right" vertical="center" wrapText="1"/>
      <protection hidden="1"/>
    </xf>
    <xf numFmtId="0" fontId="33" fillId="5" borderId="7" xfId="0" applyFont="1" applyFill="1" applyBorder="1" applyAlignment="1" applyProtection="1">
      <alignment horizontal="right" vertical="center" wrapText="1"/>
      <protection hidden="1"/>
    </xf>
    <xf numFmtId="0" fontId="3" fillId="5" borderId="8" xfId="0" applyFont="1" applyFill="1" applyBorder="1" applyAlignment="1">
      <alignment horizontal="right" vertical="center"/>
    </xf>
    <xf numFmtId="9" fontId="10" fillId="12" borderId="4" xfId="2" applyNumberFormat="1" applyFont="1" applyFill="1" applyBorder="1" applyProtection="1">
      <protection locked="0"/>
    </xf>
    <xf numFmtId="0" fontId="21" fillId="8" borderId="4" xfId="0" applyFont="1" applyFill="1" applyBorder="1" applyAlignment="1">
      <alignment horizontal="center" wrapText="1"/>
    </xf>
    <xf numFmtId="43" fontId="6" fillId="9" borderId="4" xfId="0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43" fontId="6" fillId="2" borderId="4" xfId="1" applyNumberFormat="1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3" fontId="6" fillId="5" borderId="4" xfId="0" applyNumberFormat="1" applyFont="1" applyFill="1" applyBorder="1" applyProtection="1"/>
    <xf numFmtId="37" fontId="10" fillId="2" borderId="4" xfId="1" applyNumberFormat="1" applyFont="1" applyFill="1" applyBorder="1" applyProtection="1"/>
    <xf numFmtId="3" fontId="10" fillId="2" borderId="4" xfId="1" applyNumberFormat="1" applyFont="1" applyFill="1" applyBorder="1" applyProtection="1"/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49" fontId="10" fillId="2" borderId="4" xfId="1" quotePrefix="1" applyNumberFormat="1" applyFont="1" applyFill="1" applyBorder="1" applyAlignment="1" applyProtection="1">
      <alignment horizontal="center"/>
      <protection locked="0"/>
    </xf>
    <xf numFmtId="43" fontId="10" fillId="2" borderId="0" xfId="0" applyNumberFormat="1" applyFont="1" applyFill="1" applyProtection="1">
      <protection locked="0"/>
    </xf>
    <xf numFmtId="164" fontId="10" fillId="2" borderId="0" xfId="0" applyNumberFormat="1" applyFont="1" applyFill="1" applyProtection="1">
      <protection locked="0"/>
    </xf>
    <xf numFmtId="43" fontId="10" fillId="2" borderId="0" xfId="1" applyFont="1" applyFill="1" applyProtection="1">
      <protection locked="0"/>
    </xf>
    <xf numFmtId="37" fontId="10" fillId="2" borderId="0" xfId="0" applyNumberFormat="1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67" fontId="6" fillId="2" borderId="0" xfId="4" applyNumberFormat="1" applyFont="1" applyFill="1" applyBorder="1" applyProtection="1">
      <protection locked="0"/>
    </xf>
    <xf numFmtId="164" fontId="10" fillId="2" borderId="0" xfId="1" applyNumberFormat="1" applyFont="1" applyFill="1" applyProtection="1">
      <protection locked="0"/>
    </xf>
    <xf numFmtId="0" fontId="6" fillId="2" borderId="12" xfId="0" applyFont="1" applyFill="1" applyBorder="1" applyAlignment="1"/>
    <xf numFmtId="0" fontId="6" fillId="2" borderId="10" xfId="0" applyFont="1" applyFill="1" applyBorder="1" applyAlignment="1"/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Protection="1">
      <protection locked="0"/>
    </xf>
    <xf numFmtId="0" fontId="37" fillId="2" borderId="0" xfId="0" applyFont="1" applyFill="1" applyBorder="1" applyAlignment="1" applyProtection="1">
      <alignment horizontal="right"/>
      <protection locked="0"/>
    </xf>
    <xf numFmtId="3" fontId="36" fillId="2" borderId="0" xfId="3" applyNumberFormat="1" applyFont="1" applyFill="1" applyBorder="1" applyProtection="1">
      <protection locked="0"/>
    </xf>
    <xf numFmtId="3" fontId="37" fillId="2" borderId="0" xfId="3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/>
    </xf>
    <xf numFmtId="0" fontId="36" fillId="2" borderId="0" xfId="0" applyFont="1" applyFill="1" applyBorder="1" applyAlignment="1" applyProtection="1">
      <alignment horizontal="left"/>
      <protection locked="0"/>
    </xf>
    <xf numFmtId="0" fontId="38" fillId="2" borderId="0" xfId="0" applyFont="1" applyFill="1" applyProtection="1">
      <protection locked="0"/>
    </xf>
    <xf numFmtId="9" fontId="39" fillId="13" borderId="4" xfId="2" applyNumberFormat="1" applyFont="1" applyFill="1" applyBorder="1" applyProtection="1">
      <protection locked="0"/>
    </xf>
    <xf numFmtId="0" fontId="10" fillId="13" borderId="4" xfId="0" applyFont="1" applyFill="1" applyBorder="1" applyAlignment="1" applyProtection="1">
      <alignment horizontal="center"/>
      <protection locked="0"/>
    </xf>
    <xf numFmtId="9" fontId="11" fillId="13" borderId="3" xfId="0" applyNumberFormat="1" applyFont="1" applyFill="1" applyBorder="1" applyProtection="1">
      <protection locked="0"/>
    </xf>
    <xf numFmtId="0" fontId="6" fillId="13" borderId="1" xfId="0" applyFont="1" applyFill="1" applyBorder="1" applyAlignment="1">
      <alignment horizontal="center"/>
    </xf>
    <xf numFmtId="0" fontId="10" fillId="13" borderId="9" xfId="0" applyFont="1" applyFill="1" applyBorder="1" applyAlignment="1" applyProtection="1">
      <alignment horizontal="center"/>
      <protection locked="0"/>
    </xf>
    <xf numFmtId="41" fontId="6" fillId="5" borderId="4" xfId="0" applyNumberFormat="1" applyFont="1" applyFill="1" applyBorder="1" applyProtection="1"/>
    <xf numFmtId="41" fontId="6" fillId="5" borderId="4" xfId="1" applyNumberFormat="1" applyFont="1" applyFill="1" applyBorder="1"/>
    <xf numFmtId="41" fontId="10" fillId="2" borderId="3" xfId="0" applyNumberFormat="1" applyFont="1" applyFill="1" applyBorder="1" applyProtection="1">
      <protection locked="0"/>
    </xf>
    <xf numFmtId="41" fontId="10" fillId="2" borderId="4" xfId="0" applyNumberFormat="1" applyFont="1" applyFill="1" applyBorder="1"/>
    <xf numFmtId="41" fontId="15" fillId="2" borderId="3" xfId="4" applyNumberFormat="1" applyFont="1" applyFill="1" applyBorder="1"/>
    <xf numFmtId="41" fontId="15" fillId="2" borderId="3" xfId="0" applyNumberFormat="1" applyFont="1" applyFill="1" applyBorder="1"/>
    <xf numFmtId="41" fontId="6" fillId="4" borderId="4" xfId="4" applyNumberFormat="1" applyFont="1" applyFill="1" applyBorder="1"/>
    <xf numFmtId="0" fontId="6" fillId="13" borderId="4" xfId="0" applyFont="1" applyFill="1" applyBorder="1" applyAlignment="1">
      <alignment horizontal="center"/>
    </xf>
    <xf numFmtId="9" fontId="10" fillId="13" borderId="4" xfId="2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9" fontId="2" fillId="2" borderId="1" xfId="2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9" fontId="2" fillId="2" borderId="4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31" fillId="2" borderId="1" xfId="0" applyFont="1" applyFill="1" applyBorder="1" applyAlignment="1">
      <alignment horizontal="right"/>
    </xf>
    <xf numFmtId="0" fontId="31" fillId="2" borderId="2" xfId="0" applyFont="1" applyFill="1" applyBorder="1" applyAlignment="1">
      <alignment horizontal="right"/>
    </xf>
    <xf numFmtId="0" fontId="31" fillId="2" borderId="3" xfId="0" applyFont="1" applyFill="1" applyBorder="1" applyAlignment="1">
      <alignment horizontal="right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quotePrefix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27" fillId="3" borderId="1" xfId="0" applyFont="1" applyFill="1" applyBorder="1" applyAlignment="1" applyProtection="1">
      <alignment horizontal="left"/>
      <protection locked="0"/>
    </xf>
    <xf numFmtId="0" fontId="27" fillId="3" borderId="3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164" fontId="10" fillId="2" borderId="2" xfId="1" applyNumberFormat="1" applyFont="1" applyFill="1" applyBorder="1" applyAlignment="1" applyProtection="1">
      <alignment horizontal="right"/>
      <protection locked="0"/>
    </xf>
    <xf numFmtId="164" fontId="10" fillId="2" borderId="3" xfId="1" applyNumberFormat="1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4" fontId="26" fillId="2" borderId="18" xfId="0" applyNumberFormat="1" applyFont="1" applyFill="1" applyBorder="1" applyAlignment="1" applyProtection="1">
      <alignment horizontal="left"/>
      <protection locked="0"/>
    </xf>
    <xf numFmtId="14" fontId="26" fillId="2" borderId="17" xfId="0" applyNumberFormat="1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7" fillId="13" borderId="9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6" fillId="13" borderId="4" xfId="0" quotePrefix="1" applyFont="1" applyFill="1" applyBorder="1" applyAlignment="1">
      <alignment horizontal="center"/>
    </xf>
    <xf numFmtId="0" fontId="10" fillId="13" borderId="9" xfId="0" applyFont="1" applyFill="1" applyBorder="1" applyAlignment="1" applyProtection="1">
      <alignment horizontal="center"/>
      <protection hidden="1"/>
    </xf>
    <xf numFmtId="0" fontId="10" fillId="13" borderId="7" xfId="0" applyFont="1" applyFill="1" applyBorder="1" applyAlignment="1" applyProtection="1">
      <alignment horizontal="center"/>
      <protection hidden="1"/>
    </xf>
    <xf numFmtId="0" fontId="0" fillId="0" borderId="2" xfId="0" applyBorder="1" applyAlignment="1"/>
    <xf numFmtId="0" fontId="16" fillId="2" borderId="13" xfId="0" applyFont="1" applyFill="1" applyBorder="1" applyAlignment="1" applyProtection="1">
      <alignment horizontal="right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169" fontId="10" fillId="2" borderId="1" xfId="0" applyNumberFormat="1" applyFont="1" applyFill="1" applyBorder="1" applyAlignment="1" applyProtection="1">
      <alignment horizontal="center"/>
      <protection locked="0"/>
    </xf>
    <xf numFmtId="169" fontId="10" fillId="2" borderId="3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30" fillId="2" borderId="2" xfId="0" applyFont="1" applyFill="1" applyBorder="1" applyAlignment="1">
      <alignment horizontal="right"/>
    </xf>
    <xf numFmtId="0" fontId="30" fillId="2" borderId="3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right"/>
    </xf>
    <xf numFmtId="0" fontId="3" fillId="11" borderId="2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164" fontId="3" fillId="11" borderId="1" xfId="1" applyNumberFormat="1" applyFont="1" applyFill="1" applyBorder="1" applyAlignment="1">
      <alignment horizontal="right"/>
    </xf>
    <xf numFmtId="164" fontId="3" fillId="11" borderId="3" xfId="1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center"/>
    </xf>
    <xf numFmtId="43" fontId="6" fillId="9" borderId="2" xfId="0" applyNumberFormat="1" applyFont="1" applyFill="1" applyBorder="1" applyAlignment="1">
      <alignment horizontal="center"/>
    </xf>
    <xf numFmtId="43" fontId="6" fillId="9" borderId="3" xfId="0" applyNumberFormat="1" applyFont="1" applyFill="1" applyBorder="1" applyAlignment="1">
      <alignment horizontal="center"/>
    </xf>
    <xf numFmtId="43" fontId="6" fillId="6" borderId="1" xfId="0" applyNumberFormat="1" applyFont="1" applyFill="1" applyBorder="1" applyAlignment="1">
      <alignment horizontal="center"/>
    </xf>
    <xf numFmtId="43" fontId="6" fillId="6" borderId="2" xfId="0" applyNumberFormat="1" applyFont="1" applyFill="1" applyBorder="1" applyAlignment="1">
      <alignment horizontal="center"/>
    </xf>
    <xf numFmtId="43" fontId="6" fillId="6" borderId="3" xfId="0" applyNumberFormat="1" applyFont="1" applyFill="1" applyBorder="1" applyAlignment="1">
      <alignment horizontal="center"/>
    </xf>
  </cellXfs>
  <cellStyles count="19">
    <cellStyle name="Comma" xfId="1" builtinId="3"/>
    <cellStyle name="Comma 10" xfId="3"/>
    <cellStyle name="Comma 11" xfId="17"/>
    <cellStyle name="Comma 12" xfId="18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8"/>
    <cellStyle name="Currency" xfId="4" builtinId="4"/>
    <cellStyle name="Normal" xfId="0" builtinId="0"/>
    <cellStyle name="Normal 2" xfId="9"/>
    <cellStyle name="Normal 3" xfId="7"/>
    <cellStyle name="Normal 4" xfId="5"/>
    <cellStyle name="Percent" xfId="2" builtinId="5"/>
    <cellStyle name="Percent 2" xfId="6"/>
  </cellStyles>
  <dxfs count="86">
    <dxf>
      <border>
        <right/>
        <vertical/>
        <horizontal/>
      </border>
    </dxf>
    <dxf>
      <border>
        <right/>
      </border>
    </dxf>
    <dxf>
      <border>
        <right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</border>
    </dxf>
    <dxf>
      <border>
        <right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left/>
        <vertical/>
        <horizontal/>
      </border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2F7FC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169" workbookViewId="0">
      <selection activeCell="H43" sqref="H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10" t="s">
        <v>25</v>
      </c>
      <c r="C1" s="123">
        <f>IF('Pilot Project Budget'!N2="0 Months",0,IF('Pilot Project Budget'!N2="1 month",1,IF('Pilot Project Budget'!N2="2 months",2,IF('Pilot Project Budget'!N2="3 months",3,IF('Pilot Project Budget'!N2="4 months",4,IF('Pilot Project Budget'!N2="5 months",5,IF('Pilot Project Budget'!N2="6 months",6,IF('Pilot Project Budget'!N2="7 months",7,IF('Pilot Project Budget'!N2="8 months",8,IF('Pilot Project Budget'!N2="9 months",9,IF('Pilot Project Budget'!N2="10 months",10,IF('Pilot Project Budget'!N2="11 months",11,IF('Pilot Project Budget'!N2="12 months",12,0)))))))))))))</f>
        <v>12</v>
      </c>
      <c r="D1" s="10"/>
      <c r="E1" s="10"/>
      <c r="F1" s="10"/>
      <c r="G1" s="10"/>
      <c r="I1" s="22"/>
      <c r="J1" s="23"/>
      <c r="K1" s="23"/>
      <c r="L1" s="23"/>
      <c r="M1" s="23"/>
      <c r="N1" s="23"/>
      <c r="O1" s="23"/>
    </row>
    <row r="2" spans="1:15" x14ac:dyDescent="0.2">
      <c r="A2" s="6" t="s">
        <v>1</v>
      </c>
      <c r="B2" s="5">
        <f>'Pilot Project Budget'!C1</f>
        <v>43922</v>
      </c>
      <c r="C2" s="5">
        <f>B2</f>
        <v>43922</v>
      </c>
      <c r="D2" s="5">
        <f>IF(C3&lt;B3,DATE(YEAR(C3),MONTH(C3),DAY(C3)+1),"")</f>
        <v>44287</v>
      </c>
      <c r="E2" s="5" t="str">
        <f>IF($D$3&lt;$B$3,DATE(YEAR(D3),MONTH(D3),DAY(D3)+1),"")</f>
        <v/>
      </c>
      <c r="F2" s="5" t="str">
        <f>IF(AND($D$3&lt;$B$3,$E3&lt;$B$3),DATE(YEAR(E3),MONTH(E3),DAY(E3)+1),"")</f>
        <v/>
      </c>
      <c r="G2" s="5" t="str">
        <f>IF(AND($D$3&lt;$B$3,$E3&lt;$B$3,F3&lt;B3),DATE(YEAR(F3),MONTH(F3),DAY(F3)+1),"")</f>
        <v/>
      </c>
      <c r="I2" s="22"/>
      <c r="J2" s="23"/>
      <c r="K2" s="24"/>
      <c r="L2" s="23"/>
      <c r="M2" s="23"/>
      <c r="N2" s="23"/>
      <c r="O2" s="23"/>
    </row>
    <row r="3" spans="1:15" x14ac:dyDescent="0.2">
      <c r="A3" s="6" t="s">
        <v>2</v>
      </c>
      <c r="B3" s="5">
        <f>'Pilot Project Budget'!C2</f>
        <v>44651</v>
      </c>
      <c r="C3" s="5">
        <f>IF(B5&lt;C1,B3,(DATE(YEAR(C2),MONTH(C2)+C1,DAY(C2)-1)))</f>
        <v>44286</v>
      </c>
      <c r="D3" s="5">
        <f>IF(C3=B3,"",IF((DATE(YEAR(D2)+1,MONTH(D2),DAY(D2)-1))&gt;$B$3,$B$3,(DATE(YEAR(D2)+1,MONTH(D2),DAY(D2)-1))))</f>
        <v>44651</v>
      </c>
      <c r="E3" s="5" t="str">
        <f>IF(C3=B3,"",IF(D3=B3,"",IF((DATE(YEAR(E2)+1,MONTH(E2),DAY(E2)-1))&gt;$B$3,$B$3,(DATE(YEAR(E2)+1,MONTH(E2),DAY(E2)-1)))))</f>
        <v/>
      </c>
      <c r="F3" s="5" t="str">
        <f>IF($B$3=$C$3,"",IF($D$3=$B$3,"",IF($E$3=$B$3,"",IF((DATE(YEAR(F2)+1,MONTH(F2),DAY(F2)-1))&gt;$B$3,$B$3,(DATE(YEAR(F2)+1,MONTH(F2),DAY(F2)-1))))))</f>
        <v/>
      </c>
      <c r="G3" s="5" t="str">
        <f>IF($B$3=$C$3,"",IF($D$3=$B$3,"",IF($E$3=$B$3,"",IF($F3=B3,"",IF((DATE(YEAR(G2)+1,MONTH(G2),DAY(G2)-1))&gt;$B$3,$B$3,(DATE(YEAR(G2)+1,MONTH(G2),DAY(G2)-1)))))))</f>
        <v/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6" t="s">
        <v>23</v>
      </c>
      <c r="B4" s="6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19/20</v>
      </c>
      <c r="C4" s="6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19/20</v>
      </c>
      <c r="D4" s="6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20/21</v>
      </c>
      <c r="E4" s="6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/>
      </c>
      <c r="F4" s="6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/>
      </c>
      <c r="G4" s="6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/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6" t="s">
        <v>26</v>
      </c>
      <c r="B5" s="7">
        <f>ROUND(YEARFRAC(B2,(DATE(YEAR(B3),MONTH(B3),DAY(B3)+1)),0)*12,1)</f>
        <v>24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12</v>
      </c>
      <c r="E5" s="16">
        <f>IF(E4="",0,ROUND(YEARFRAC(E2,(DATE(YEAR(E3),MONTH(E3),DAY(E3)+1)),0)*12,1))</f>
        <v>0</v>
      </c>
      <c r="F5" s="16">
        <f>IF(F4="",0,ROUND(YEARFRAC(F2,(DATE(YEAR(F3),MONTH(F3),DAY(F3)+1)),0)*12,1))</f>
        <v>0</v>
      </c>
      <c r="G5" s="16">
        <f>IF(G4="",0,ROUND(YEARFRAC(G2,(DATE(YEAR(G3),MONTH(G3),DAY(G3)+1)),0)*12,1))</f>
        <v>0</v>
      </c>
      <c r="I5" s="22"/>
      <c r="J5" s="23"/>
      <c r="K5" s="23"/>
      <c r="L5" s="23"/>
      <c r="M5" s="23"/>
      <c r="N5" s="23"/>
      <c r="O5" s="23"/>
    </row>
    <row r="6" spans="1:15" x14ac:dyDescent="0.2">
      <c r="A6" s="6" t="s">
        <v>27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3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3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6" t="s">
        <v>28</v>
      </c>
      <c r="B7" s="8"/>
      <c r="C7" s="8">
        <f>IF(ROUND(C5-C6,2)&lt;0,0,ROUND(C5-C6,2))</f>
        <v>9</v>
      </c>
      <c r="D7" s="8">
        <f>IF(ROUND(D5-D6,2)&lt;0,0,ROUND(D5-D6,2))</f>
        <v>9</v>
      </c>
      <c r="E7" s="8">
        <f>IF(ROUND(E5-E6,2)&lt;0,0,ROUND(E5-E6,2))</f>
        <v>0</v>
      </c>
      <c r="F7" s="8">
        <f>IF(ROUND(F5-F6,2)&lt;0,0,ROUND(F5-F6,2))</f>
        <v>0</v>
      </c>
      <c r="G7" s="8">
        <f>IF(ROUND(G5-G6,2)&lt;0,0,ROUND(G5-G6,2))</f>
        <v>0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6" t="s">
        <v>48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7/01/2020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7/01/2021</v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/>
      </c>
      <c r="F8" s="5" t="str">
        <f t="shared" si="1"/>
        <v/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/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6" t="s">
        <v>50</v>
      </c>
      <c r="B9" s="5"/>
      <c r="C9" s="14">
        <f>IF(C5&lt;C6,C5,IF(C5=C6,C5,IF(C5&gt;C6,C6)))</f>
        <v>3</v>
      </c>
      <c r="D9" s="14">
        <f t="shared" ref="D9:E9" si="2">IF(D5&lt;D6,D5,IF(D5=D6,D5,IF(D5&gt;D6,D6)))</f>
        <v>3</v>
      </c>
      <c r="E9" s="14">
        <f t="shared" si="2"/>
        <v>0</v>
      </c>
      <c r="F9" s="14">
        <f>IF(F5&lt;F6,F5,IF(F5=F6,F5,IF(F5&gt;F6,F6)))</f>
        <v>0</v>
      </c>
      <c r="G9" s="14">
        <f>IF(G5&lt;G6,G5,IF(G5=G6,G5,IF(G5&gt;G6,G6)))</f>
        <v>0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6" t="s">
        <v>49</v>
      </c>
      <c r="B10" s="5"/>
      <c r="C10" s="7">
        <f>ROUND(C5-C9,2)</f>
        <v>9</v>
      </c>
      <c r="D10" s="7">
        <f>IF(D4="",0,ROUND(D5-D9,2))</f>
        <v>9</v>
      </c>
      <c r="E10" s="7">
        <f>IF(E4="",0,ROUND(E5-E9,2))</f>
        <v>0</v>
      </c>
      <c r="F10" s="7">
        <f>IF(F4="",0,ROUND(F5-F9,2))</f>
        <v>0</v>
      </c>
      <c r="G10" s="7">
        <f>IF(G4="",0,ROUND(G5-G9,2))</f>
        <v>0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6" t="s">
        <v>53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0.5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0.5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</v>
      </c>
      <c r="F11" s="21">
        <f t="shared" si="3"/>
        <v>0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6" t="s">
        <v>54</v>
      </c>
      <c r="B12" s="5"/>
      <c r="C12" s="7">
        <f>3-C11</f>
        <v>2.5</v>
      </c>
      <c r="D12" s="7">
        <f>IF(D4="",0,3-D11)</f>
        <v>2.5</v>
      </c>
      <c r="E12" s="7">
        <f>IF(E4="",0,3-E11)</f>
        <v>0</v>
      </c>
      <c r="F12" s="7">
        <f>IF(F4="",0,3-F11)</f>
        <v>0</v>
      </c>
      <c r="G12" s="7">
        <f>IF(G4="",0,3-G11)</f>
        <v>0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>
        <f>IF(C9&gt;=C11,C11,C9)</f>
        <v>0.5</v>
      </c>
      <c r="D13" s="74">
        <f>IF(D4="",0,IF(D9&gt;=D11,D11,D9))</f>
        <v>0.5</v>
      </c>
      <c r="E13" s="74">
        <f t="shared" ref="E13:G13" si="4">IF(E9&gt;=E11,E11,E9)</f>
        <v>0</v>
      </c>
      <c r="F13" s="74">
        <f t="shared" si="4"/>
        <v>0</v>
      </c>
      <c r="G13" s="74">
        <f t="shared" si="4"/>
        <v>0</v>
      </c>
      <c r="H13" s="12"/>
    </row>
    <row r="14" spans="1:15" x14ac:dyDescent="0.2">
      <c r="A14" s="72" t="s">
        <v>56</v>
      </c>
      <c r="B14" s="73"/>
      <c r="C14" s="74">
        <f>IF(C10&gt;=C12,C12,C10)</f>
        <v>2.5</v>
      </c>
      <c r="D14" s="74">
        <f t="shared" ref="D14:G14" si="5">IF(D10&gt;=D12,D12,D10)</f>
        <v>2.5</v>
      </c>
      <c r="E14" s="74">
        <f t="shared" si="5"/>
        <v>0</v>
      </c>
      <c r="F14" s="74">
        <f t="shared" si="5"/>
        <v>0</v>
      </c>
      <c r="G14" s="74">
        <f t="shared" si="5"/>
        <v>0</v>
      </c>
      <c r="H14" s="12"/>
    </row>
    <row r="15" spans="1:15" x14ac:dyDescent="0.2">
      <c r="A15" s="6" t="s">
        <v>58</v>
      </c>
      <c r="B15" s="5">
        <f ca="1">IF('Pilot Project Budget'!R1="",TODAY(),'Pilot Project Budget'!R1)</f>
        <v>43755</v>
      </c>
      <c r="H15" s="12"/>
    </row>
    <row r="16" spans="1:15" x14ac:dyDescent="0.2">
      <c r="A16" s="6" t="s">
        <v>60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19/20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6" t="s">
        <v>61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7/01/2020</v>
      </c>
      <c r="C17" s="28">
        <f>(DATE(YEAR(C2),MONTH(C2)+C6,DAY(C2)-1))</f>
        <v>44012</v>
      </c>
      <c r="D17" s="28">
        <f>IF(D2="","",(DATE(YEAR(D2),MONTH(D2)+D6,DAY(D2)-1)))</f>
        <v>44377</v>
      </c>
      <c r="E17" s="28" t="str">
        <f>IF(E2="","",(DATE(YEAR(E2),MONTH(E2)+E6,DAY(E2)-1)))</f>
        <v/>
      </c>
      <c r="F17" s="28" t="str">
        <f t="shared" ref="F17:G17" si="6">IF(F2="","",(DATE(YEAR(F2),MONTH(F2)+F6,DAY(F2)-1)))</f>
        <v/>
      </c>
      <c r="G17" s="165" t="str">
        <f t="shared" si="6"/>
        <v/>
      </c>
      <c r="H17" s="12"/>
    </row>
    <row r="18" spans="1:8" x14ac:dyDescent="0.2">
      <c r="A18" s="6" t="s">
        <v>59</v>
      </c>
      <c r="B18" s="116">
        <f ca="1">ROUND(IF(B16="","",YEARFRAC(B15,(DATE(YEAR(B17),MONTH(B17),DAY(B17)+1)),1)*12),1)</f>
        <v>8.5</v>
      </c>
      <c r="C18" s="31">
        <f>(DATE(YEAR(C2),MONTH(C2)+C6,DAY(C2)))</f>
        <v>44013</v>
      </c>
      <c r="D18" s="31">
        <f>IF(D2="","",(DATE(YEAR(D2),MONTH(D2)+D6,DAY(D2))))</f>
        <v>44378</v>
      </c>
      <c r="E18" s="31" t="str">
        <f t="shared" ref="E18:G18" si="7">IF(E2="","",(DATE(YEAR(E2),MONTH(E2)+E6,DAY(E2))))</f>
        <v/>
      </c>
      <c r="F18" s="31" t="str">
        <f t="shared" si="7"/>
        <v/>
      </c>
      <c r="G18" s="166" t="str">
        <f t="shared" si="7"/>
        <v/>
      </c>
      <c r="H18" s="12"/>
    </row>
    <row r="19" spans="1:8" x14ac:dyDescent="0.2">
      <c r="A19" s="6" t="s">
        <v>62</v>
      </c>
      <c r="B19" s="116">
        <f ca="1">ROUND(YEARFRAC(B15,(DATE(YEAR(B2),MONTH(B2),DAY(B2)+1)),1)*12,1)</f>
        <v>5.5</v>
      </c>
      <c r="C19" s="33">
        <f>C3</f>
        <v>44286</v>
      </c>
      <c r="D19" s="33">
        <f>D3</f>
        <v>44651</v>
      </c>
      <c r="E19" s="33" t="str">
        <f>E3</f>
        <v/>
      </c>
      <c r="F19" s="33" t="str">
        <f>F3</f>
        <v/>
      </c>
      <c r="G19" s="167" t="str">
        <f>G3</f>
        <v/>
      </c>
      <c r="H19" s="12"/>
    </row>
    <row r="20" spans="1:8" x14ac:dyDescent="0.2">
      <c r="A20" s="6" t="s">
        <v>63</v>
      </c>
      <c r="B20" s="7">
        <f ca="1">IF(B18&gt;B19,0,IF(B19&gt;=B18,ROUNDDOWN((B19-B18)/12+1,0)))</f>
        <v>0</v>
      </c>
      <c r="C20" s="33"/>
      <c r="D20" s="34"/>
      <c r="E20" s="34"/>
      <c r="F20" s="34"/>
      <c r="G20" s="35"/>
      <c r="H20" s="12"/>
    </row>
    <row r="21" spans="1:8" x14ac:dyDescent="0.2">
      <c r="A21" s="6" t="s">
        <v>103</v>
      </c>
      <c r="B21" s="110">
        <f ca="1">IF(C22=TRUE,C21,DATE(YEAR(C21)+1,MONTH(C21),DAY(C21)))</f>
        <v>366</v>
      </c>
      <c r="C21" s="28" t="b">
        <f ca="1">IF(B16="14/15",("09/01/2014"),IF(B16="15/16",("09/01/2015"),IF(B16="16/17",("09/01/2016"),IF(B16="17/18",("09/1/2017")))))</f>
        <v>0</v>
      </c>
      <c r="D21" s="29"/>
      <c r="E21" s="29"/>
      <c r="F21" s="29"/>
      <c r="G21" s="30"/>
      <c r="H21" s="12"/>
    </row>
    <row r="22" spans="1:8" x14ac:dyDescent="0.2">
      <c r="A22" s="6" t="s">
        <v>104</v>
      </c>
      <c r="B22" s="7">
        <f ca="1">ROUND(IF(B16="","",YEARFRAC(B15,(DATE(YEAR(B21),MONTH(B21),DAY(B21)+1)),1)*12),1)</f>
        <v>1425.5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2">
      <c r="A23" s="6" t="s">
        <v>105</v>
      </c>
      <c r="B23" s="7">
        <f ca="1">ROUND(YEARFRAC(B15,(DATE(YEAR(B2),MONTH(B2),DAY(B2)+1)),1)*12,1)</f>
        <v>5.5</v>
      </c>
      <c r="C23" s="31"/>
      <c r="D23" s="13"/>
      <c r="E23" s="13"/>
      <c r="F23" s="13"/>
      <c r="G23" s="32"/>
      <c r="H23" s="12"/>
    </row>
    <row r="24" spans="1:8" x14ac:dyDescent="0.2">
      <c r="A24" s="6" t="s">
        <v>106</v>
      </c>
      <c r="B24" s="36">
        <f ca="1">IF(AND(B22&gt;=B23,B22&lt;5),0,(IF(AND(B22&gt;=B23,B22&gt;=5),1,(IF(AND(B23&gt;B22,B22&gt;=5),ROUND((B23-B22)/12+1,0),((ROUND((B23-B22)/12,0))))))))</f>
        <v>1</v>
      </c>
      <c r="C24" s="33"/>
      <c r="D24" s="34"/>
      <c r="E24" s="34"/>
      <c r="F24" s="34"/>
      <c r="G24" s="35"/>
      <c r="H24" s="12"/>
    </row>
    <row r="25" spans="1:8" x14ac:dyDescent="0.2">
      <c r="A25" s="6" t="s">
        <v>118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3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3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0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0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0</v>
      </c>
      <c r="H25" s="12"/>
    </row>
    <row r="26" spans="1:8" x14ac:dyDescent="0.2">
      <c r="A26" s="6" t="s">
        <v>119</v>
      </c>
      <c r="B26" s="7"/>
      <c r="C26" s="14">
        <f>9-C25</f>
        <v>6</v>
      </c>
      <c r="D26" s="14">
        <f>IF(D4="",0,9-D25)</f>
        <v>6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2">
      <c r="A27" s="6" t="s">
        <v>120</v>
      </c>
      <c r="B27" s="7"/>
      <c r="C27" s="7">
        <f>IF(C5&lt;C25,C5,C25)</f>
        <v>3</v>
      </c>
      <c r="D27" s="7">
        <f>IF(D5&lt;D25,D5,D25)</f>
        <v>3</v>
      </c>
      <c r="E27" s="7">
        <f t="shared" ref="E27:G27" si="8">IF(E5&lt;E25,E5,E25)</f>
        <v>0</v>
      </c>
      <c r="F27" s="7">
        <f t="shared" si="8"/>
        <v>0</v>
      </c>
      <c r="G27" s="7">
        <f t="shared" si="8"/>
        <v>0</v>
      </c>
      <c r="H27" s="12"/>
    </row>
    <row r="28" spans="1:8" x14ac:dyDescent="0.2">
      <c r="A28" s="6" t="s">
        <v>121</v>
      </c>
      <c r="B28" s="5"/>
      <c r="C28" s="7">
        <f>IF(C5&lt;C25,0,IF(C5&lt;C25+C26,C5-C25,C26))</f>
        <v>6</v>
      </c>
      <c r="D28" s="7">
        <f>IF(D4="",0,IF(D5&lt;D25,0,IF(D5&lt;D25+D26,D5-D25,D26)))</f>
        <v>6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2">
      <c r="A29" s="6" t="s">
        <v>165</v>
      </c>
      <c r="B29" s="5"/>
      <c r="C29" s="7">
        <f>C27+C28</f>
        <v>9</v>
      </c>
      <c r="D29" s="7">
        <f t="shared" ref="D29:G29" si="9">D27+D28</f>
        <v>9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12"/>
    </row>
    <row r="30" spans="1:8" x14ac:dyDescent="0.2">
      <c r="A30" s="6" t="s">
        <v>166</v>
      </c>
      <c r="B30" s="5"/>
      <c r="C30" s="7">
        <f>IF(C29=0,0,IF(C29&lt;4,1,IF(C29&lt;7,2,3)))</f>
        <v>3</v>
      </c>
      <c r="D30" s="7">
        <f t="shared" ref="D30:F30" si="10">IF(D29=0,0,IF(D29&lt;4,1,IF(D29&lt;7,2,3)))</f>
        <v>3</v>
      </c>
      <c r="E30" s="7">
        <f t="shared" si="10"/>
        <v>0</v>
      </c>
      <c r="F30" s="7">
        <f t="shared" si="10"/>
        <v>0</v>
      </c>
      <c r="G30" s="7">
        <f>IF(G29=0,0,IF(G29&lt;4,1,IF(G29&lt;7,2,3)))</f>
        <v>0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10" t="s">
        <v>34</v>
      </c>
      <c r="C34" s="10" t="s">
        <v>35</v>
      </c>
      <c r="D34" s="10" t="s">
        <v>44</v>
      </c>
      <c r="E34" s="10" t="s">
        <v>36</v>
      </c>
      <c r="F34" s="10" t="s">
        <v>37</v>
      </c>
      <c r="G34" s="10" t="s">
        <v>38</v>
      </c>
      <c r="H34" s="10" t="s">
        <v>39</v>
      </c>
      <c r="I34" s="10" t="s">
        <v>40</v>
      </c>
      <c r="J34" s="10" t="s">
        <v>41</v>
      </c>
      <c r="K34" s="10" t="s">
        <v>42</v>
      </c>
      <c r="L34" s="1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>
        <f>IF('Pilot Project Budget'!$S$34="NO",$E35,ROUND(E35*1.03,3))</f>
        <v>0.20100000000000001</v>
      </c>
      <c r="G35" s="4">
        <v>0.255</v>
      </c>
      <c r="H35" s="4">
        <v>0.26300000000000001</v>
      </c>
      <c r="I35" s="4">
        <f>IF('Pilot Project Budget'!$S$34="NO",$E35,ROUND(H35*1.03,3))</f>
        <v>0.27100000000000002</v>
      </c>
      <c r="J35" s="4">
        <f>IF('Pilot Project Budget'!$S$34="NO",$E35,ROUND(I35*1.03,3))</f>
        <v>0.27900000000000003</v>
      </c>
      <c r="K35" s="4">
        <f>IF('Pilot Project Budget'!$S$34="NO",$E35,ROUND(J35*1.03,3))</f>
        <v>0.28699999999999998</v>
      </c>
      <c r="L35" s="4">
        <f>IF('Pilot Project Budget'!$S$34="NO",$E35,ROUND(K35*1.03,3))</f>
        <v>0.29599999999999999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>
        <f>IF('Pilot Project Budget'!$S$34="NO",$E36,ROUND(E36*1.03,3))</f>
        <v>0.314</v>
      </c>
      <c r="G36" s="4">
        <v>0.34100000000000003</v>
      </c>
      <c r="H36" s="4">
        <f>IF('Pilot Project Budget'!$S$34="NO",$E36,ROUND(G36*1.03,3))</f>
        <v>0.35099999999999998</v>
      </c>
      <c r="I36" s="4">
        <f>IF('Pilot Project Budget'!$S$34="NO",$E36,ROUND(H36*1.03,3))</f>
        <v>0.36199999999999999</v>
      </c>
      <c r="J36" s="4">
        <f>IF('Pilot Project Budget'!$S$34="NO",$E36,ROUND(I36*1.03,3))</f>
        <v>0.373</v>
      </c>
      <c r="K36" s="4">
        <f>IF('Pilot Project Budget'!$S$34="NO",$E36,ROUND(J36*1.03,3))</f>
        <v>0.38400000000000001</v>
      </c>
      <c r="L36" s="4">
        <f>IF('Pilot Project Budget'!$S$34="NO",$E36,ROUND(K36*1.03,3))</f>
        <v>0.39600000000000002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>
        <f>IF('Pilot Project Budget'!$S$34="NO",$E37,ROUND(E37*1.03,3))</f>
        <v>0.40100000000000002</v>
      </c>
      <c r="G37" s="4">
        <v>0.38400000000000001</v>
      </c>
      <c r="H37" s="4">
        <f>IF('Pilot Project Budget'!$S$34="NO",$E37,ROUND(G37*1.03,3))</f>
        <v>0.39600000000000002</v>
      </c>
      <c r="I37" s="4">
        <f>IF('Pilot Project Budget'!$S$34="NO",$E37,ROUND(H37*1.03,3))</f>
        <v>0.40799999999999997</v>
      </c>
      <c r="J37" s="4">
        <f>IF('Pilot Project Budget'!$S$34="NO",$E37,ROUND(I37*1.03,3))</f>
        <v>0.42</v>
      </c>
      <c r="K37" s="4">
        <f>IF('Pilot Project Budget'!$S$34="NO",$E37,ROUND(J37*1.03,3))</f>
        <v>0.433</v>
      </c>
      <c r="L37" s="4">
        <f>IF('Pilot Project Budget'!$S$34="NO",$E37,ROUND(K37*1.03,3))</f>
        <v>0.44600000000000001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>
        <f>IF('Pilot Project Budget'!$S$34="NO",$E38,ROUND(E38*1.03,3))</f>
        <v>0.52500000000000002</v>
      </c>
      <c r="G38" s="4">
        <v>0.53100000000000003</v>
      </c>
      <c r="H38" s="4">
        <f>IF('Pilot Project Budget'!$S$34="NO",$E38,ROUND(G38*1.03,3))</f>
        <v>0.54700000000000004</v>
      </c>
      <c r="I38" s="4">
        <f>IF('Pilot Project Budget'!$S$34="NO",$E38,ROUND(H38*1.03,3))</f>
        <v>0.56299999999999994</v>
      </c>
      <c r="J38" s="4">
        <f>IF('Pilot Project Budget'!$S$34="NO",$E38,ROUND(I38*1.03,3))</f>
        <v>0.57999999999999996</v>
      </c>
      <c r="K38" s="4">
        <f>IF('Pilot Project Budget'!$S$34="NO",$E38,ROUND(J38*1.03,3))</f>
        <v>0.59699999999999998</v>
      </c>
      <c r="L38" s="4">
        <f>IF('Pilot Project Budget'!$S$34="NO",$E38,ROUND(K38*1.03,3))</f>
        <v>0.61499999999999999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>
        <f>IF('Pilot Project Budget'!$S$34="NO",$E39,ROUND(E39*1.03,3))</f>
        <v>0.625</v>
      </c>
      <c r="G39" s="4">
        <v>0.66100000000000003</v>
      </c>
      <c r="H39" s="4">
        <f>IF('Pilot Project Budget'!$S$34="NO",$E39,ROUND(G39*1.03,3))</f>
        <v>0.68100000000000005</v>
      </c>
      <c r="I39" s="4">
        <f>IF('Pilot Project Budget'!$S$34="NO",$E39,ROUND(H39*1.03,3))</f>
        <v>0.70099999999999996</v>
      </c>
      <c r="J39" s="4">
        <f>IF('Pilot Project Budget'!$S$34="NO",$E39,ROUND(I39*1.03,3))</f>
        <v>0.72199999999999998</v>
      </c>
      <c r="K39" s="4">
        <f>IF('Pilot Project Budget'!$S$34="NO",$E39,ROUND(J39*1.03,3))</f>
        <v>0.74399999999999999</v>
      </c>
      <c r="L39" s="4">
        <f>IF('Pilot Project Budget'!$S$34="NO",$E39,ROUND(K39*1.03,3))</f>
        <v>0.76600000000000001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>
        <f>IF('Pilot Project Budget'!$S$34="NO",$E40,ROUND(E40*1.03,3))</f>
        <v>0.17799999999999999</v>
      </c>
      <c r="G40" s="4">
        <v>0.26300000000000001</v>
      </c>
      <c r="H40" s="4">
        <f>IF('Pilot Project Budget'!$S$34="NO",$E40,ROUND(G40*1.03,3))</f>
        <v>0.27100000000000002</v>
      </c>
      <c r="I40" s="4">
        <f>IF('Pilot Project Budget'!$S$34="NO",$E40,ROUND(H40*1.03,3))</f>
        <v>0.27900000000000003</v>
      </c>
      <c r="J40" s="4">
        <f>IF('Pilot Project Budget'!$S$34="NO",$E40,ROUND(I40*1.03,3))</f>
        <v>0.28699999999999998</v>
      </c>
      <c r="K40" s="4">
        <f>IF('Pilot Project Budget'!$S$34="NO",$E40,ROUND(J40*1.03,3))</f>
        <v>0.29599999999999999</v>
      </c>
      <c r="L40" s="4">
        <f>IF('Pilot Project Budget'!$S$34="NO",$E40,ROUND(K40*1.03,3))</f>
        <v>0.30499999999999999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>
        <f>IF('Pilot Project Budget'!$S$34="NO",$E41,ROUND(E41*1.03,3))</f>
        <v>1.4999999999999999E-2</v>
      </c>
      <c r="G41" s="4">
        <v>0.10299999999999999</v>
      </c>
      <c r="H41" s="4">
        <f>IF('Pilot Project Budget'!$S$34="NO",$E41,ROUND(G41*1.03,3))</f>
        <v>0.106</v>
      </c>
      <c r="I41" s="4">
        <f>IF('Pilot Project Budget'!$S$34="NO",$E41,ROUND(H41*1.03,3))</f>
        <v>0.109</v>
      </c>
      <c r="J41" s="4">
        <f>IF('Pilot Project Budget'!$S$34="NO",$E41,ROUND(I41*1.03,3))</f>
        <v>0.112</v>
      </c>
      <c r="K41" s="4">
        <f>IF('Pilot Project Budget'!$S$34="NO",$E41,ROUND(J41*1.03,3))</f>
        <v>0.115</v>
      </c>
      <c r="L41" s="4">
        <f>IF('Pilot Project Budget'!$S$34="NO",$E41,ROUND(K41*1.03,3))</f>
        <v>0.11799999999999999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>
        <f>IF('Pilot Project Budget'!$S$34="NO",$E42,ROUND(E42*1.03,3))</f>
        <v>9.5000000000000001E-2</v>
      </c>
      <c r="G42" s="4">
        <v>1.9E-2</v>
      </c>
      <c r="H42" s="4">
        <f>IF('Pilot Project Budget'!$S$34="NO",$E42,ROUND(G42*1.03,3))</f>
        <v>0.02</v>
      </c>
      <c r="I42" s="4">
        <f>IF('Pilot Project Budget'!$S$34="NO",$E42,ROUND(H42*1.03,3))</f>
        <v>2.1000000000000001E-2</v>
      </c>
      <c r="J42" s="4">
        <f>IF('Pilot Project Budget'!$S$34="NO",$E42,ROUND(I42*1.03,3))</f>
        <v>2.1999999999999999E-2</v>
      </c>
      <c r="K42" s="4">
        <f>IF('Pilot Project Budget'!$S$34="NO",$E42,ROUND(J42*1.03,3))</f>
        <v>2.3E-2</v>
      </c>
      <c r="L42" s="4">
        <f>IF('Pilot Project Budget'!$S$34="NO",$E42,ROUND(K42*1.03,3))</f>
        <v>2.4E-2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>
        <f>IF('Pilot Project Budget'!$S$34="NO",$E43,ROUND(E43*1.03,3))</f>
        <v>4.8000000000000001E-2</v>
      </c>
      <c r="G43" s="4">
        <v>3.5999999999999997E-2</v>
      </c>
      <c r="H43" s="4">
        <f>IF('Pilot Project Budget'!$S$34="NO",$E43,ROUND(G43*1.03,3))</f>
        <v>3.6999999999999998E-2</v>
      </c>
      <c r="I43" s="4">
        <f>IF('Pilot Project Budget'!$S$34="NO",$E43,ROUND(H43*1.03,3))</f>
        <v>3.7999999999999999E-2</v>
      </c>
      <c r="J43" s="4">
        <f>IF('Pilot Project Budget'!$S$34="NO",$E43,ROUND(I43*1.03,3))</f>
        <v>3.9E-2</v>
      </c>
      <c r="K43" s="4">
        <f>IF('Pilot Project Budget'!$S$34="NO",$E43,ROUND(J43*1.03,3))</f>
        <v>0.04</v>
      </c>
      <c r="L43" s="4">
        <f>IF('Pilot Project Budget'!$S$34="NO",$E43,ROUND(K43*1.03,3))</f>
        <v>4.1000000000000002E-2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11" t="s">
        <v>46</v>
      </c>
      <c r="C46" s="11" t="s">
        <v>47</v>
      </c>
      <c r="D46" s="11" t="s">
        <v>46</v>
      </c>
      <c r="E46" s="11" t="s">
        <v>47</v>
      </c>
      <c r="F46" s="11" t="s">
        <v>46</v>
      </c>
      <c r="G46" s="11" t="s">
        <v>47</v>
      </c>
      <c r="H46" s="11" t="s">
        <v>46</v>
      </c>
      <c r="I46" s="11" t="s">
        <v>47</v>
      </c>
      <c r="J46" s="11" t="s">
        <v>46</v>
      </c>
      <c r="K46" s="11" t="s">
        <v>47</v>
      </c>
    </row>
    <row r="47" spans="1:12" x14ac:dyDescent="0.2">
      <c r="A47" s="4" t="s">
        <v>15</v>
      </c>
      <c r="B47" s="4">
        <f>IF($C$4=B$34,B35,IF(C4=C34,C35,IF(C4=D34,D35,IF(C4=E34,E35,IF(C4=F34,F35,IF(C4=G34,G35,IF(C4=H34,H35)))))))</f>
        <v>0.255</v>
      </c>
      <c r="C47" s="4">
        <f>IF(C7=0,B47,IF(C4=B34,C35,IF(C4=C34,D35,IF(C4=D34,E35,IF(C4=E34,F35,IF(C4=F34,G35,IF(C4=G34,H35,IF(C4=H34,I35))))))))</f>
        <v>0.26300000000000001</v>
      </c>
      <c r="D47" s="4">
        <f>IF($D$4="",0,IF($D$4=$C$34,C35,IF($D$4=$D$34,D35,IF($D$4=$E$34,E35,IF($D$4=F34,$F$35,IF($D$4=G34,$G$35,IF($D$4=H34,$H$35)))))))</f>
        <v>0.26300000000000001</v>
      </c>
      <c r="E47" s="4">
        <f>IF($D$4="",0,IF($D$7=0,D47,IF($D$4=$B$34,C35,IF($D$4=$C$34,D35,IF($D$4=$D$34,E35,IF($D$4=$E$34,F35,IF($D$4=$F$34,G35,IF($D$4=$G$34,H35,IF($D$4=$H$34,I35,IF($D$4=$I$34,J35))))))))))</f>
        <v>0.27100000000000002</v>
      </c>
      <c r="F47" s="4">
        <f t="shared" ref="F47:F55" si="11">IF($E$4="",0,IF($E$4=$D$34,D35,IF($E$4=$E$34,E35,IF($E$4=$F$34,F35,IF($E$4=$G$34,G35,IF($E$4=$H$34,H35,IF($E$4=I34,I35,IF($E$4=$J$34,J35))))))))</f>
        <v>0</v>
      </c>
      <c r="G47" s="4">
        <f>IF($E$4="",0,IF($E$7=0,F47,IF($E$4=$B$34,C35,IF($E$4=$C$34,D35,IF($E$4=$D$34,E35,IF($E$4=$E$34,F35,IF($E$4=$F$34,G35,IF($E$4=$G$34,H35,IF($E$4=$H$34,I35,IF($E$4=$I$34,J35))))))))))</f>
        <v>0</v>
      </c>
      <c r="H47" s="4">
        <f t="shared" ref="H47:H55" si="12">IF($F$4="",0,IF($F$4=$D$34,D35,IF($F$4=$E$34,E35,IF($F$4=$F$34,F35,IF($F$4=$G$34,G35,IF($F$4=$H$34,H35,IF($F$4=$I$34,I35,IF($F$4=$J$34,J35,IF($F$4=$K$34,K35,)))))))))</f>
        <v>0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</v>
      </c>
    </row>
    <row r="48" spans="1:12" x14ac:dyDescent="0.2">
      <c r="A48" s="4" t="s">
        <v>16</v>
      </c>
      <c r="B48" s="4">
        <f t="shared" ref="B48:B55" si="16">IF($C$4=$B$34,B36,IF($C$4=$C$34,C36,IF($C$4=$D$34,D36,IF($C$4=$E$34,E36,IF($C$4=$F$34,F36,IF($C$4=$G$34,G36,IF($C$4=$H$34,H36)))))))</f>
        <v>0.34100000000000003</v>
      </c>
      <c r="C48" s="4">
        <f t="shared" ref="C48:C55" si="17">IF($C$7=0,B48,IF($C$4=$B$34,C36,IF($C$4=$C$34,D36,IF($C$4=$D$34,E36,IF($C$4=$E$34,F36,IF($C$4=$F$34,G36,IF($C$4=$G$34,H36,IF($C$4=$H$34,I36))))))))</f>
        <v>0.35099999999999998</v>
      </c>
      <c r="D48" s="4">
        <f t="shared" ref="D48:D55" si="18">IF($D$4="",0,IF($D$4=$C$34,C36,IF($D$4=$D$34,D36,IF($D$4=$E$34,E36,IF($D$4=$F$34,F36,IF($D$4=$G$34,G36,IF($D$4=$H$34,H36)))))))</f>
        <v>0.35099999999999998</v>
      </c>
      <c r="E48" s="4">
        <f t="shared" ref="E48:E55" si="19">IF($D$4="",0,IF($D$7=0,D48,IF($D$4=$B$34,C36,IF($D$4=$C$34,D36,IF($D$4=$D$34,E36,IF($D$4=$E$34,F36,IF($D$4=$F$34,G36,IF($D$4=$G$34,H36,IF($D$4=$H$34,I36,IF($D$4=$I$34,J36))))))))))</f>
        <v>0.36199999999999999</v>
      </c>
      <c r="F48" s="4">
        <f t="shared" si="11"/>
        <v>0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</v>
      </c>
      <c r="H48" s="4">
        <f t="shared" si="12"/>
        <v>0</v>
      </c>
      <c r="I48" s="4">
        <f t="shared" si="13"/>
        <v>0</v>
      </c>
      <c r="J48" s="4">
        <f t="shared" si="14"/>
        <v>0</v>
      </c>
      <c r="K48" s="4">
        <f t="shared" si="15"/>
        <v>0</v>
      </c>
    </row>
    <row r="49" spans="1:11" x14ac:dyDescent="0.2">
      <c r="A49" s="4" t="s">
        <v>30</v>
      </c>
      <c r="B49" s="4">
        <f t="shared" si="16"/>
        <v>0.38400000000000001</v>
      </c>
      <c r="C49" s="4">
        <f t="shared" si="17"/>
        <v>0.39600000000000002</v>
      </c>
      <c r="D49" s="4">
        <f t="shared" si="18"/>
        <v>0.39600000000000002</v>
      </c>
      <c r="E49" s="4">
        <f t="shared" si="19"/>
        <v>0.40799999999999997</v>
      </c>
      <c r="F49" s="4">
        <f t="shared" si="11"/>
        <v>0</v>
      </c>
      <c r="G49" s="4">
        <f t="shared" si="20"/>
        <v>0</v>
      </c>
      <c r="H49" s="4">
        <f t="shared" si="12"/>
        <v>0</v>
      </c>
      <c r="I49" s="4">
        <f t="shared" si="13"/>
        <v>0</v>
      </c>
      <c r="J49" s="4">
        <f t="shared" si="14"/>
        <v>0</v>
      </c>
      <c r="K49" s="4">
        <f t="shared" si="15"/>
        <v>0</v>
      </c>
    </row>
    <row r="50" spans="1:11" x14ac:dyDescent="0.2">
      <c r="A50" s="4" t="s">
        <v>20</v>
      </c>
      <c r="B50" s="4">
        <f t="shared" si="16"/>
        <v>0.53100000000000003</v>
      </c>
      <c r="C50" s="4">
        <f t="shared" si="17"/>
        <v>0.54700000000000004</v>
      </c>
      <c r="D50" s="4">
        <f t="shared" si="18"/>
        <v>0.54700000000000004</v>
      </c>
      <c r="E50" s="4">
        <f t="shared" si="19"/>
        <v>0.56299999999999994</v>
      </c>
      <c r="F50" s="4">
        <f t="shared" si="11"/>
        <v>0</v>
      </c>
      <c r="G50" s="4">
        <f t="shared" si="20"/>
        <v>0</v>
      </c>
      <c r="H50" s="4">
        <f t="shared" si="12"/>
        <v>0</v>
      </c>
      <c r="I50" s="4">
        <f t="shared" si="13"/>
        <v>0</v>
      </c>
      <c r="J50" s="4">
        <f t="shared" si="14"/>
        <v>0</v>
      </c>
      <c r="K50" s="4">
        <f t="shared" si="15"/>
        <v>0</v>
      </c>
    </row>
    <row r="51" spans="1:11" x14ac:dyDescent="0.2">
      <c r="A51" s="4" t="s">
        <v>31</v>
      </c>
      <c r="B51" s="4">
        <f t="shared" si="16"/>
        <v>0.66100000000000003</v>
      </c>
      <c r="C51" s="4">
        <f t="shared" si="17"/>
        <v>0.68100000000000005</v>
      </c>
      <c r="D51" s="4">
        <f t="shared" si="18"/>
        <v>0.68100000000000005</v>
      </c>
      <c r="E51" s="4">
        <f t="shared" si="19"/>
        <v>0.70099999999999996</v>
      </c>
      <c r="F51" s="4">
        <f t="shared" si="11"/>
        <v>0</v>
      </c>
      <c r="G51" s="4">
        <f t="shared" si="20"/>
        <v>0</v>
      </c>
      <c r="H51" s="4">
        <f t="shared" si="12"/>
        <v>0</v>
      </c>
      <c r="I51" s="4">
        <f t="shared" si="13"/>
        <v>0</v>
      </c>
      <c r="J51" s="4">
        <f t="shared" si="14"/>
        <v>0</v>
      </c>
      <c r="K51" s="4">
        <f t="shared" si="15"/>
        <v>0</v>
      </c>
    </row>
    <row r="52" spans="1:11" x14ac:dyDescent="0.2">
      <c r="A52" s="4" t="s">
        <v>19</v>
      </c>
      <c r="B52" s="4">
        <f t="shared" si="16"/>
        <v>0.26300000000000001</v>
      </c>
      <c r="C52" s="4">
        <f t="shared" si="17"/>
        <v>0.27100000000000002</v>
      </c>
      <c r="D52" s="4">
        <f t="shared" si="18"/>
        <v>0.27100000000000002</v>
      </c>
      <c r="E52" s="4">
        <f t="shared" si="19"/>
        <v>0.27900000000000003</v>
      </c>
      <c r="F52" s="4">
        <f t="shared" si="11"/>
        <v>0</v>
      </c>
      <c r="G52" s="4">
        <f t="shared" si="20"/>
        <v>0</v>
      </c>
      <c r="H52" s="4">
        <f t="shared" si="12"/>
        <v>0</v>
      </c>
      <c r="I52" s="4">
        <f t="shared" si="13"/>
        <v>0</v>
      </c>
      <c r="J52" s="4">
        <f t="shared" si="14"/>
        <v>0</v>
      </c>
      <c r="K52" s="4">
        <f t="shared" si="15"/>
        <v>0</v>
      </c>
    </row>
    <row r="53" spans="1:11" x14ac:dyDescent="0.2">
      <c r="A53" s="4" t="s">
        <v>32</v>
      </c>
      <c r="B53" s="4">
        <f t="shared" si="16"/>
        <v>0.10299999999999999</v>
      </c>
      <c r="C53" s="4">
        <f t="shared" si="17"/>
        <v>0.106</v>
      </c>
      <c r="D53" s="20">
        <f t="shared" si="18"/>
        <v>0.106</v>
      </c>
      <c r="E53" s="20">
        <f t="shared" si="19"/>
        <v>0.109</v>
      </c>
      <c r="F53" s="20">
        <f t="shared" si="11"/>
        <v>0</v>
      </c>
      <c r="G53" s="20">
        <f t="shared" si="20"/>
        <v>0</v>
      </c>
      <c r="H53" s="4">
        <f t="shared" si="12"/>
        <v>0</v>
      </c>
      <c r="I53" s="4">
        <f t="shared" si="13"/>
        <v>0</v>
      </c>
      <c r="J53" s="4">
        <f t="shared" si="14"/>
        <v>0</v>
      </c>
      <c r="K53" s="4">
        <f t="shared" si="15"/>
        <v>0</v>
      </c>
    </row>
    <row r="54" spans="1:11" x14ac:dyDescent="0.2">
      <c r="A54" s="4" t="s">
        <v>33</v>
      </c>
      <c r="B54" s="4">
        <f t="shared" si="16"/>
        <v>1.9E-2</v>
      </c>
      <c r="C54" s="4">
        <f t="shared" si="17"/>
        <v>0.02</v>
      </c>
      <c r="D54" s="4">
        <f t="shared" si="18"/>
        <v>0.02</v>
      </c>
      <c r="E54" s="4">
        <f t="shared" si="19"/>
        <v>2.1000000000000001E-2</v>
      </c>
      <c r="F54" s="4">
        <f t="shared" si="11"/>
        <v>0</v>
      </c>
      <c r="G54" s="4">
        <f t="shared" si="20"/>
        <v>0</v>
      </c>
      <c r="H54" s="4">
        <f t="shared" si="12"/>
        <v>0</v>
      </c>
      <c r="I54" s="4">
        <f t="shared" si="13"/>
        <v>0</v>
      </c>
      <c r="J54" s="4">
        <f t="shared" si="14"/>
        <v>0</v>
      </c>
      <c r="K54" s="4">
        <f t="shared" si="15"/>
        <v>0</v>
      </c>
    </row>
    <row r="55" spans="1:11" x14ac:dyDescent="0.2">
      <c r="A55" s="4" t="s">
        <v>22</v>
      </c>
      <c r="B55" s="4">
        <f t="shared" si="16"/>
        <v>3.5999999999999997E-2</v>
      </c>
      <c r="C55" s="4">
        <f t="shared" si="17"/>
        <v>3.6999999999999998E-2</v>
      </c>
      <c r="D55" s="4">
        <f t="shared" si="18"/>
        <v>3.6999999999999998E-2</v>
      </c>
      <c r="E55" s="4">
        <f t="shared" si="19"/>
        <v>3.7999999999999999E-2</v>
      </c>
      <c r="F55" s="4">
        <f t="shared" si="11"/>
        <v>0</v>
      </c>
      <c r="G55" s="4">
        <f t="shared" si="20"/>
        <v>0</v>
      </c>
      <c r="H55" s="4">
        <f t="shared" si="12"/>
        <v>0</v>
      </c>
      <c r="I55" s="4">
        <f t="shared" si="13"/>
        <v>0</v>
      </c>
      <c r="J55" s="4">
        <f t="shared" si="14"/>
        <v>0</v>
      </c>
      <c r="K55" s="4">
        <f t="shared" si="15"/>
        <v>0</v>
      </c>
    </row>
    <row r="56" spans="1:11" x14ac:dyDescent="0.2">
      <c r="A56" s="4" t="s">
        <v>51</v>
      </c>
      <c r="B56" s="4">
        <f>B52</f>
        <v>0.26300000000000001</v>
      </c>
      <c r="C56" s="4">
        <f t="shared" ref="C56:K56" si="21">C52</f>
        <v>0.27100000000000002</v>
      </c>
      <c r="D56" s="4">
        <f t="shared" si="21"/>
        <v>0.27100000000000002</v>
      </c>
      <c r="E56" s="4">
        <f t="shared" si="21"/>
        <v>0.27900000000000003</v>
      </c>
      <c r="F56" s="4">
        <f t="shared" si="21"/>
        <v>0</v>
      </c>
      <c r="G56" s="4">
        <f>G52</f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</row>
    <row r="58" spans="1:11" x14ac:dyDescent="0.2">
      <c r="A58" s="9" t="s">
        <v>52</v>
      </c>
      <c r="B58" s="11" t="s">
        <v>9</v>
      </c>
      <c r="C58" s="11" t="s">
        <v>10</v>
      </c>
      <c r="D58" s="11" t="s">
        <v>11</v>
      </c>
      <c r="E58" s="11" t="s">
        <v>24</v>
      </c>
      <c r="F58" s="11" t="s">
        <v>12</v>
      </c>
    </row>
    <row r="59" spans="1:11" x14ac:dyDescent="0.2">
      <c r="A59" s="4" t="s">
        <v>15</v>
      </c>
      <c r="B59" s="19" t="str">
        <f t="shared" ref="B59:B66" si="22">IF(B47&lt;&gt;C47,(B47*100)&amp;"/"&amp;C47*100,B47*100)</f>
        <v>25.5/26.3</v>
      </c>
      <c r="C59" s="19" t="str">
        <f>IF(D4="","",(IF(D47&lt;&gt;E47,(D47*100)&amp;"/"&amp;E47*100,D47*100)))</f>
        <v>26.3/27.1</v>
      </c>
      <c r="D59" s="19" t="str">
        <f>IF(E4="","",(IF(F47&lt;&gt;G47,(F47*100)&amp;"/"&amp;G47*100,F47*100)))</f>
        <v/>
      </c>
      <c r="E59" s="19" t="str">
        <f>IF(F4="","",(IF(H47&lt;&gt;I47,(H47*100)&amp;"/"&amp;I47*100,H47*100)))</f>
        <v/>
      </c>
      <c r="F59" s="19" t="str">
        <f>IF(G4="","",(IF(J47&lt;&gt;K47,(J47*100)&amp;"/"&amp;K47*100,J47*100)))</f>
        <v/>
      </c>
    </row>
    <row r="60" spans="1:11" x14ac:dyDescent="0.2">
      <c r="A60" s="4" t="s">
        <v>16</v>
      </c>
      <c r="B60" s="19" t="str">
        <f t="shared" si="22"/>
        <v>34.1/35.1</v>
      </c>
      <c r="C60" s="19" t="str">
        <f>IF(D4="","",(IF(D48&lt;&gt;E48,(D48*100)&amp;"/"&amp;E48*100,D48*100)))</f>
        <v>35.1/36.2</v>
      </c>
      <c r="D60" s="19" t="str">
        <f>IF(E4="","",(IF(F48&lt;&gt;G48,(F48*100)&amp;"/"&amp;G48*100,F48*100)))</f>
        <v/>
      </c>
      <c r="E60" s="19" t="str">
        <f>IF(F4="","",(IF(H48&lt;&gt;I48,(H48*100)&amp;"/"&amp;I48*100,H48*100)))</f>
        <v/>
      </c>
      <c r="F60" s="19" t="str">
        <f>IF(G4="","",(IF(J48&lt;&gt;K48,(J48*100)&amp;"/"&amp;K48*100,J48*100)))</f>
        <v/>
      </c>
    </row>
    <row r="61" spans="1:11" x14ac:dyDescent="0.2">
      <c r="A61" s="4" t="s">
        <v>30</v>
      </c>
      <c r="B61" s="19" t="str">
        <f t="shared" si="22"/>
        <v>38.4/39.6</v>
      </c>
      <c r="C61" s="19" t="str">
        <f>IF(D4="","",(IF(D49&lt;&gt;E49,(D49*100)&amp;"/"&amp;E49*100,D49*100)))</f>
        <v>39.6/40.8</v>
      </c>
      <c r="D61" s="19" t="str">
        <f>IF(E4="","",(IF(F49&lt;&gt;G49,(F49*100)&amp;"/"&amp;G49*100,F49*100)))</f>
        <v/>
      </c>
      <c r="E61" s="19" t="str">
        <f>IF(F4="","",(IF(H49&lt;&gt;I49,(H49*100)&amp;"/"&amp;I49*100,H49*100)))</f>
        <v/>
      </c>
      <c r="F61" s="19" t="str">
        <f>IF(G4="","",(IF(J49&lt;&gt;K49,(J49*100)&amp;"/"&amp;K49*100,J49*100)))</f>
        <v/>
      </c>
    </row>
    <row r="62" spans="1:11" x14ac:dyDescent="0.2">
      <c r="A62" s="4" t="s">
        <v>20</v>
      </c>
      <c r="B62" s="19" t="str">
        <f t="shared" si="22"/>
        <v>53.1/54.7</v>
      </c>
      <c r="C62" s="19" t="str">
        <f>IF(D4="","",(IF(D50&lt;&gt;E50,(D50*100)&amp;"/"&amp;E50*100,D50*100)))</f>
        <v>54.7/56.3</v>
      </c>
      <c r="D62" s="19" t="str">
        <f>IF(E4="","",(IF(F50&lt;&gt;G50,(F50*100)&amp;"/"&amp;G50*100,F50*100)))</f>
        <v/>
      </c>
      <c r="E62" s="19" t="str">
        <f>IF(F4="","",(IF(H50&lt;&gt;I50,(H50*100)&amp;"/"&amp;I50*100,H50*100)))</f>
        <v/>
      </c>
      <c r="F62" s="19" t="str">
        <f>IF(G4="","",(IF(J50&lt;&gt;K50,(J50*100)&amp;"/"&amp;K50*100,J50*100)))</f>
        <v/>
      </c>
    </row>
    <row r="63" spans="1:11" x14ac:dyDescent="0.2">
      <c r="A63" s="4" t="s">
        <v>31</v>
      </c>
      <c r="B63" s="19" t="str">
        <f t="shared" si="22"/>
        <v>66.1/68.1</v>
      </c>
      <c r="C63" s="19" t="str">
        <f>IF(D4="","",(IF(D51&lt;&gt;E51,(D51*100)&amp;"/"&amp;E51*100,D51*100)))</f>
        <v>68.1/70.1</v>
      </c>
      <c r="D63" s="19" t="str">
        <f>IF(E4="","",(IF(F51&lt;&gt;G51,(F51*100)&amp;"/"&amp;G51*100,F51*100)))</f>
        <v/>
      </c>
      <c r="E63" s="19" t="str">
        <f>IF(F4="","",(IF(H51&lt;&gt;I51,(H51*100)&amp;"/"&amp;I51*100,H51*100)))</f>
        <v/>
      </c>
      <c r="F63" s="19" t="str">
        <f>IF(G4="","",(IF(J51&lt;&gt;K51,(J51*100)&amp;"/"&amp;K51*100,J51*100)))</f>
        <v/>
      </c>
    </row>
    <row r="64" spans="1:11" x14ac:dyDescent="0.2">
      <c r="A64" s="4" t="s">
        <v>19</v>
      </c>
      <c r="B64" s="19" t="str">
        <f t="shared" si="22"/>
        <v>26.3/27.1</v>
      </c>
      <c r="C64" s="19" t="str">
        <f>IF(D4="","",(IF(D4="","",(IF(D52&lt;&gt;E52,(D52*100)&amp;"/"&amp;E52*100,D52*100)))))</f>
        <v>27.1/27.9</v>
      </c>
      <c r="D64" s="19" t="str">
        <f>IF(E4="","",(IF(F52&lt;&gt;G52,(F52*100)&amp;"/"&amp;G52*100,F52*100)))</f>
        <v/>
      </c>
      <c r="E64" s="19" t="str">
        <f>IF(F4="","",(IF(H52&lt;&gt;I52,(H52*100)&amp;"/"&amp;I52*100,H52*100)))</f>
        <v/>
      </c>
      <c r="F64" s="19" t="str">
        <f>IF(G4="","",(IF(J52&lt;&gt;K52,(J52*100)&amp;"/"&amp;K52*100,J52*100)))</f>
        <v/>
      </c>
    </row>
    <row r="65" spans="1:12" x14ac:dyDescent="0.2">
      <c r="A65" s="4" t="s">
        <v>32</v>
      </c>
      <c r="B65" s="19" t="str">
        <f t="shared" si="22"/>
        <v>10.3/10.6</v>
      </c>
      <c r="C65" s="19" t="str">
        <f>IF(D4="","",(IF(D53&lt;&gt;E53,(D53*100)&amp;"/"&amp;E53*100,D53*100)))</f>
        <v>10.6/10.9</v>
      </c>
      <c r="D65" s="19" t="str">
        <f>IF(E4="","",(IF(F53&lt;&gt;G53,(F53*100)&amp;"/"&amp;G53*100,F53*100)))</f>
        <v/>
      </c>
      <c r="E65" s="19" t="str">
        <f>IF(F4="","",(IF(H53&lt;&gt;I53,(H53*100)&amp;"/"&amp;I53*100,H53*100)))</f>
        <v/>
      </c>
      <c r="F65" s="19" t="str">
        <f>IF(G4="","",(IF(J53&lt;&gt;K53,(J53*100)&amp;"/"&amp;K53*100,J53*100)))</f>
        <v/>
      </c>
    </row>
    <row r="66" spans="1:12" x14ac:dyDescent="0.2">
      <c r="A66" s="4" t="s">
        <v>33</v>
      </c>
      <c r="B66" s="19" t="str">
        <f t="shared" si="22"/>
        <v>1.9/2</v>
      </c>
      <c r="C66" s="19" t="str">
        <f>IF(D4="","",(IF(D54&lt;&gt;E54,(D54*100)&amp;"/"&amp;E54*100,D54*100)))</f>
        <v>2/2.1</v>
      </c>
      <c r="D66" s="19" t="str">
        <f>IF(E4="","",(IF(F54&lt;&gt;G54,(F54*100)&amp;"/"&amp;G54*100,F54*100)))</f>
        <v/>
      </c>
      <c r="E66" s="19" t="str">
        <f>IF(F4="","",(IF(H54&lt;&gt;I54,(H54*100)&amp;"/"&amp;I54*100,H54*100)))</f>
        <v/>
      </c>
      <c r="F66" s="19" t="str">
        <f>IF(G4="","",(IF(J54&lt;&gt;K54,(J54*100)&amp;"/"&amp;K54*100,J54*100)))</f>
        <v/>
      </c>
    </row>
    <row r="67" spans="1:12" x14ac:dyDescent="0.2">
      <c r="A67" s="4" t="s">
        <v>22</v>
      </c>
      <c r="B67" s="19" t="str">
        <f>IF(B55&lt;&gt;C55,(B55*100)&amp;"/"&amp;C55*100,B55*100)</f>
        <v>3.6/3.7</v>
      </c>
      <c r="C67" s="19" t="str">
        <f>IF(D4="","",(IF(D55&lt;&gt;E55,(D55*100)&amp;"/"&amp;E55*100,D55*100)))</f>
        <v>3.7/3.8</v>
      </c>
      <c r="D67" s="19" t="str">
        <f>IF(E4="","",(IF(F55&lt;&gt;G55,(F55*100)&amp;"/"&amp;G55*100,F55*100)))</f>
        <v/>
      </c>
      <c r="E67" s="19" t="str">
        <f>IF(F4="","",(IF(H55&lt;&gt;I55,(H55*100)&amp;"/"&amp;I55*100,H55*100)))</f>
        <v/>
      </c>
      <c r="F67" s="19" t="str">
        <f>IF(G4="","",(IF(J55&lt;&gt;K55,(J55*100)&amp;"/"&amp;K55*100,J55*100)))</f>
        <v/>
      </c>
    </row>
    <row r="68" spans="1:12" x14ac:dyDescent="0.2">
      <c r="A68" s="4" t="s">
        <v>141</v>
      </c>
      <c r="B68" s="19" t="str">
        <f>IF(B56&lt;&gt;C56,(B56*100)&amp;"/"&amp;C56*100,B56*100)</f>
        <v>26.3/27.1</v>
      </c>
      <c r="C68" s="19" t="str">
        <f>IF(D4=0,"",(IF(D56&lt;&gt;E56,(D56*100)&amp;"/"&amp;E56*100,D56*100)))</f>
        <v>27.1/27.9</v>
      </c>
      <c r="D68" s="19">
        <f>IF(E4=0,"",(IF(F56&lt;&gt;G56,(F56*100)&amp;"/"&amp;G56*100,F56*100)))</f>
        <v>0</v>
      </c>
      <c r="E68" s="19">
        <f>IF(F4=0,"",(IF(H56&lt;&gt;I56,(H56*100)&amp;"/"&amp;I56*100,H56*100)))</f>
        <v>0</v>
      </c>
      <c r="F68" s="19">
        <f>IF(G4=0,"",(IF(J56&lt;&gt;K56,(J56*100)&amp;"/"&amp;K56*100,J56*100)))</f>
        <v>0</v>
      </c>
    </row>
    <row r="69" spans="1:12" x14ac:dyDescent="0.2">
      <c r="A69" s="4" t="s">
        <v>142</v>
      </c>
      <c r="B69" s="111">
        <f>IF(C13&lt;=0.5,C56*100,B68)</f>
        <v>27.1</v>
      </c>
      <c r="C69" s="111">
        <f>IF(D13&lt;=0.5,E56*100,C68)</f>
        <v>27.900000000000002</v>
      </c>
      <c r="D69" s="111">
        <f>IF(E13&lt;=0.5,G56*100,D68)</f>
        <v>0</v>
      </c>
      <c r="E69" s="111">
        <f>IF(F13&lt;=0.5,I56*100,E68)</f>
        <v>0</v>
      </c>
      <c r="F69" s="111">
        <f>IF(G13=0.5,K56*100,F68)</f>
        <v>0</v>
      </c>
    </row>
    <row r="70" spans="1:12" x14ac:dyDescent="0.2">
      <c r="A70" s="4" t="s">
        <v>143</v>
      </c>
      <c r="B70" s="111">
        <f>IF(C13=1,C56*100,B69)</f>
        <v>27.1</v>
      </c>
      <c r="C70" s="111">
        <f>IF(D13=1,E56*100,C69)</f>
        <v>27.900000000000002</v>
      </c>
      <c r="D70" s="111">
        <f>IF(E13=1,G56*100,D69)</f>
        <v>0</v>
      </c>
      <c r="E70" s="111">
        <f>IF(F13=0.5,I56*100,E69)</f>
        <v>0</v>
      </c>
      <c r="F70" s="111">
        <f>IF(G13=1,K56*100,F68)</f>
        <v>0</v>
      </c>
    </row>
    <row r="71" spans="1:12" x14ac:dyDescent="0.2">
      <c r="A71" s="4" t="s">
        <v>52</v>
      </c>
      <c r="B71" s="19"/>
      <c r="C71" s="19"/>
      <c r="D71" s="19"/>
      <c r="E71" s="19"/>
      <c r="F71" s="19"/>
    </row>
    <row r="73" spans="1:12" x14ac:dyDescent="0.2">
      <c r="A73" s="2" t="s">
        <v>87</v>
      </c>
    </row>
    <row r="74" spans="1:12" x14ac:dyDescent="0.2">
      <c r="A74" s="9" t="s">
        <v>96</v>
      </c>
      <c r="B74" s="10" t="s">
        <v>34</v>
      </c>
      <c r="C74" s="10" t="s">
        <v>35</v>
      </c>
      <c r="D74" s="10" t="s">
        <v>44</v>
      </c>
      <c r="E74" s="10" t="s">
        <v>36</v>
      </c>
      <c r="F74" s="10" t="s">
        <v>37</v>
      </c>
      <c r="G74" s="10" t="s">
        <v>38</v>
      </c>
      <c r="H74" s="10" t="s">
        <v>39</v>
      </c>
      <c r="I74" s="10" t="s">
        <v>40</v>
      </c>
      <c r="J74" s="10" t="s">
        <v>41</v>
      </c>
      <c r="K74" s="10" t="s">
        <v>42</v>
      </c>
      <c r="L74" s="1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11" t="s">
        <v>46</v>
      </c>
      <c r="C85" s="11" t="s">
        <v>47</v>
      </c>
      <c r="D85" s="11" t="s">
        <v>46</v>
      </c>
      <c r="E85" s="11" t="s">
        <v>47</v>
      </c>
      <c r="F85" s="11" t="s">
        <v>46</v>
      </c>
      <c r="G85" s="11" t="s">
        <v>47</v>
      </c>
      <c r="H85" s="11" t="s">
        <v>46</v>
      </c>
      <c r="I85" s="11" t="s">
        <v>47</v>
      </c>
      <c r="J85" s="11" t="s">
        <v>46</v>
      </c>
      <c r="K85" s="11" t="s">
        <v>47</v>
      </c>
    </row>
    <row r="86" spans="1:12" x14ac:dyDescent="0.2">
      <c r="A86" s="4" t="s">
        <v>88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2">
      <c r="A89" s="4" t="s">
        <v>91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'Pilot Project Budget'!#REF!</f>
        <v>#REF!</v>
      </c>
      <c r="C91" s="26" t="e">
        <f>'Pilot Project Budget'!#REF!</f>
        <v>#REF!</v>
      </c>
      <c r="D91" s="26" t="e">
        <f>'Pilot Project Budget'!#REF!</f>
        <v>#REF!</v>
      </c>
      <c r="E91" s="26" t="e">
        <f>'Pilot Project Budget'!#REF!</f>
        <v>#REF!</v>
      </c>
      <c r="F91" s="26" t="e">
        <f>'Pilot Project Budget'!#REF!</f>
        <v>#REF!</v>
      </c>
      <c r="G91" s="26" t="e">
        <f>'Pilot Project Budget'!#REF!</f>
        <v>#REF!</v>
      </c>
      <c r="H91" s="26" t="e">
        <f>'Pilot Project Budget'!#REF!</f>
        <v>#REF!</v>
      </c>
      <c r="I91" s="26" t="e">
        <f>'Pilot Project Budget'!#REF!</f>
        <v>#REF!</v>
      </c>
      <c r="J91" s="26" t="e">
        <f>'Pilot Project Budget'!#REF!</f>
        <v>#REF!</v>
      </c>
      <c r="K91" s="26" t="e">
        <f>'Pilot Project Budget'!#REF!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11" t="s">
        <v>46</v>
      </c>
      <c r="C96" s="11" t="s">
        <v>47</v>
      </c>
      <c r="D96" s="11" t="s">
        <v>46</v>
      </c>
      <c r="E96" s="11" t="s">
        <v>47</v>
      </c>
      <c r="F96" s="11" t="s">
        <v>46</v>
      </c>
      <c r="G96" s="11" t="s">
        <v>47</v>
      </c>
      <c r="H96" s="11" t="s">
        <v>46</v>
      </c>
      <c r="I96" s="11" t="s">
        <v>47</v>
      </c>
      <c r="J96" s="11" t="s">
        <v>46</v>
      </c>
      <c r="K96" s="11" t="s">
        <v>47</v>
      </c>
    </row>
    <row r="97" spans="1:11" x14ac:dyDescent="0.2">
      <c r="B97" s="117" t="e">
        <f>IF('Pilot Project Budget'!#REF!='W1'!A86,'W1'!B86,IF('Pilot Project Budget'!#REF!='W1'!A87,'W1'!B87,IF('Pilot Project Budget'!#REF!='W1'!A88,'W1'!B88,IF('Pilot Project Budget'!#REF!='W1'!A89,'W1'!B89,IF('Pilot Project Budget'!#REF!='W1'!A90,'W1'!B90,IF('Pilot Project Budget'!#REF!='W1'!A91,'W1'!B91))))))</f>
        <v>#REF!</v>
      </c>
      <c r="C97" s="37" t="e">
        <f>IF('Pilot Project Budget'!#REF!='W1'!A86,'W1'!C86,IF('Pilot Project Budget'!#REF!='W1'!A87,'W1'!C87,IF('Pilot Project Budget'!#REF!='W1'!A88,'W1'!C88,IF('Pilot Project Budget'!#REF!='W1'!A89,'W1'!C89,IF('Pilot Project Budget'!#REF!='W1'!A90,'W1'!C90,IF('Pilot Project Budget'!#REF!='W1'!A91,'W1'!C91))))))</f>
        <v>#REF!</v>
      </c>
      <c r="D97" s="37" t="e">
        <f>IF('Pilot Project Budget'!#REF!='W1'!$A$86,'W1'!D86,IF('Pilot Project Budget'!#REF!='W1'!$A$87,'W1'!D87,IF('Pilot Project Budget'!#REF!='W1'!$A$88,'W1'!D88,IF('Pilot Project Budget'!#REF!='W1'!$A$89,'W1'!D89,IF('Pilot Project Budget'!#REF!='W1'!$A$90,'W1'!D90,IF('Pilot Project Budget'!#REF!='W1'!$A$91,'W1'!D91))))))</f>
        <v>#REF!</v>
      </c>
      <c r="E97" s="37" t="e">
        <f>IF('Pilot Project Budget'!#REF!='W1'!$A$86,'W1'!E86,IF('Pilot Project Budget'!#REF!='W1'!$A$87,'W1'!E87,IF('Pilot Project Budget'!#REF!='W1'!$A$88,'W1'!E88,IF('Pilot Project Budget'!#REF!='W1'!$A$89,'W1'!E89,IF('Pilot Project Budget'!#REF!='W1'!$A$90,'W1'!E90,IF('Pilot Project Budget'!#REF!='W1'!$A$91,'W1'!E91))))))</f>
        <v>#REF!</v>
      </c>
      <c r="F97" s="37" t="e">
        <f>IF('Pilot Project Budget'!#REF!='W1'!$A$86,'W1'!F86,IF('Pilot Project Budget'!#REF!='W1'!$A$87,'W1'!F87,IF('Pilot Project Budget'!#REF!='W1'!$A$88,'W1'!F88,IF('Pilot Project Budget'!#REF!='W1'!$A$89,'W1'!F89,IF('Pilot Project Budget'!#REF!='W1'!$A$90,'W1'!F90,IF('Pilot Project Budget'!#REF!='W1'!$A$91,'W1'!F91))))))</f>
        <v>#REF!</v>
      </c>
      <c r="G97" s="37" t="e">
        <f>IF('Pilot Project Budget'!#REF!='W1'!$A$86,'W1'!G86,IF('Pilot Project Budget'!#REF!='W1'!$A$87,'W1'!G87,IF('Pilot Project Budget'!#REF!='W1'!$A$88,'W1'!G88,IF('Pilot Project Budget'!#REF!='W1'!$A$89,'W1'!G89,IF('Pilot Project Budget'!#REF!='W1'!$A$90,'W1'!G90,IF('Pilot Project Budget'!#REF!='W1'!$A$91,'W1'!G91))))))</f>
        <v>#REF!</v>
      </c>
      <c r="H97" s="37" t="e">
        <f>IF('Pilot Project Budget'!#REF!='W1'!$A$86,'W1'!H86,IF('Pilot Project Budget'!#REF!='W1'!$A$87,'W1'!H87,IF('Pilot Project Budget'!#REF!='W1'!$A$88,'W1'!H88,IF('Pilot Project Budget'!#REF!='W1'!$A$89,'W1'!H89,IF('Pilot Project Budget'!#REF!='W1'!$A$90,'W1'!H90,IF('Pilot Project Budget'!#REF!='W1'!$A$91,'W1'!H91))))))</f>
        <v>#REF!</v>
      </c>
      <c r="I97" s="37" t="e">
        <f>IF('Pilot Project Budget'!#REF!='W1'!$A$86,'W1'!I86,IF('Pilot Project Budget'!#REF!='W1'!$A$87,'W1'!I87,IF('Pilot Project Budget'!#REF!='W1'!$A$88,'W1'!I88,IF('Pilot Project Budget'!#REF!='W1'!$A$89,'W1'!I89,IF('Pilot Project Budget'!#REF!='W1'!$A$90,'W1'!I90,IF('Pilot Project Budget'!#REF!='W1'!$A$91,'W1'!I91))))))</f>
        <v>#REF!</v>
      </c>
      <c r="J97" s="37" t="e">
        <f>IF('Pilot Project Budget'!#REF!='W1'!$A$86,'W1'!J86,IF('Pilot Project Budget'!#REF!='W1'!$A$87,'W1'!J87,IF('Pilot Project Budget'!#REF!='W1'!$A$88,'W1'!J88,IF('Pilot Project Budget'!#REF!='W1'!$A$89,'W1'!J89,IF('Pilot Project Budget'!#REF!='W1'!$A$90,'W1'!J90,IF('Pilot Project Budget'!#REF!='W1'!$A$91,'W1'!J91))))))</f>
        <v>#REF!</v>
      </c>
      <c r="K97" s="37" t="e">
        <f>IF('Pilot Project Budget'!#REF!='W1'!$A$86,'W1'!K86,IF('Pilot Project Budget'!#REF!='W1'!$A$87,'W1'!K87,IF('Pilot Project Budget'!#REF!='W1'!$A$88,'W1'!K88,IF('Pilot Project Budget'!#REF!='W1'!$A$89,'W1'!K89,IF('Pilot Project Budget'!#REF!='W1'!$A$90,'W1'!K90,IF('Pilot Project Budget'!#REF!='W1'!$A$91,'W1'!K91))))))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str">
        <f>'Pilot Project Budget'!B124</f>
        <v>Subcontract 1 (name)</v>
      </c>
      <c r="B104" s="4" t="str">
        <f>IF('Pilot Project Budget'!K124="non-UC","No","Yes")</f>
        <v>No</v>
      </c>
      <c r="C104" s="4">
        <f>'Pilot Project Budget'!N124+(IF('Pilot Project Budget'!$K125="IC of Above",'Pilot Project Budget'!N125,0))</f>
        <v>0</v>
      </c>
      <c r="D104" s="4">
        <f>'Pilot Project Budget'!O124+(IF('Pilot Project Budget'!$K125="IC of Above",'Pilot Project Budget'!O125,0))</f>
        <v>0</v>
      </c>
      <c r="E104" s="4">
        <f>'Pilot Project Budget'!P124+(IF('Pilot Project Budget'!$K125="IC of Above",'Pilot Project Budget'!P125,0))</f>
        <v>0</v>
      </c>
      <c r="F104" s="4">
        <f>'Pilot Project Budget'!Q124+(IF('Pilot Project Budget'!$K125="IC of Above",'Pilot Project Budget'!Q125,0))</f>
        <v>0</v>
      </c>
      <c r="G104" s="4">
        <f>'Pilot Project Budget'!R124+(IF('Pilot Project Budget'!$K125="IC of Above",'Pilot Project Budget'!R125,0))</f>
        <v>0</v>
      </c>
      <c r="H104" s="4">
        <f t="shared" ref="H104:H118" si="23">SUM(C104:G104)</f>
        <v>0</v>
      </c>
    </row>
    <row r="105" spans="1:11" x14ac:dyDescent="0.2">
      <c r="A105" s="40" t="str">
        <f>'Pilot Project Budget'!B125</f>
        <v>Subcontract 2 (name)</v>
      </c>
      <c r="B105" s="4" t="str">
        <f>IF('Pilot Project Budget'!K125="non-UC","No",IF('Pilot Project Budget'!K27="IC of Above","Yes","Yes"))</f>
        <v>No</v>
      </c>
      <c r="C105" s="4">
        <f>IF('Pilot Project Budget'!$K125="IC of Above",0,'Pilot Project Budget'!N125+IF('Pilot Project Budget'!$K126="IC of Above",'Pilot Project Budget'!N126,0))</f>
        <v>0</v>
      </c>
      <c r="D105" s="4">
        <f>IF('Pilot Project Budget'!$K125="IC of Above",0,'Pilot Project Budget'!O125+IF('Pilot Project Budget'!$K126="IC of Above",'Pilot Project Budget'!O126,0))</f>
        <v>0</v>
      </c>
      <c r="E105" s="4">
        <f>IF('Pilot Project Budget'!$K125="IC of Above",0,'Pilot Project Budget'!P125+IF('Pilot Project Budget'!$K126="IC of Above",'Pilot Project Budget'!P126,0))</f>
        <v>0</v>
      </c>
      <c r="F105" s="4">
        <f>IF('Pilot Project Budget'!$K125="IC of Above",0,'Pilot Project Budget'!Q125+IF('Pilot Project Budget'!$K126="IC of Above",'Pilot Project Budget'!Q126,0))</f>
        <v>0</v>
      </c>
      <c r="G105" s="4">
        <f>IF('Pilot Project Budget'!$K125="IC of Above",0,'Pilot Project Budget'!R125+IF('Pilot Project Budget'!$K126="IC of Above",'Pilot Project Budget'!R126,0))</f>
        <v>0</v>
      </c>
      <c r="H105" s="4">
        <f t="shared" si="23"/>
        <v>0</v>
      </c>
    </row>
    <row r="106" spans="1:11" x14ac:dyDescent="0.2">
      <c r="A106" s="40">
        <f>'Pilot Project Budget'!B126</f>
        <v>0</v>
      </c>
      <c r="B106" s="4" t="str">
        <f>IF('Pilot Project Budget'!K126="non-UC","No","Yes")</f>
        <v>No</v>
      </c>
      <c r="C106" s="4">
        <f>IF('Pilot Project Budget'!$K126="IC of Above",0,'Pilot Project Budget'!N126+IF('Pilot Project Budget'!$K127="IC of Above",'Pilot Project Budget'!N127,0))</f>
        <v>0</v>
      </c>
      <c r="D106" s="4">
        <f>IF('Pilot Project Budget'!$K126="IC of Above",0,'Pilot Project Budget'!O126+IF('Pilot Project Budget'!$K127="IC of Above",'Pilot Project Budget'!O127,0))</f>
        <v>0</v>
      </c>
      <c r="E106" s="4">
        <f>IF('Pilot Project Budget'!$K126="IC of Above",0,'Pilot Project Budget'!P126+IF('Pilot Project Budget'!$K127="IC of Above",'Pilot Project Budget'!P127,0))</f>
        <v>0</v>
      </c>
      <c r="F106" s="4">
        <f>IF('Pilot Project Budget'!$K126="IC of Above",0,'Pilot Project Budget'!Q126+IF('Pilot Project Budget'!$K127="IC of Above",'Pilot Project Budget'!Q127,0))</f>
        <v>0</v>
      </c>
      <c r="G106" s="4">
        <f>IF('Pilot Project Budget'!$K126="IC of Above",0,'Pilot Project Budget'!R126+IF('Pilot Project Budget'!$K127="IC of Above",'Pilot Project Budget'!R127,0))</f>
        <v>0</v>
      </c>
      <c r="H106" s="4">
        <f t="shared" si="23"/>
        <v>0</v>
      </c>
    </row>
    <row r="107" spans="1:11" x14ac:dyDescent="0.2">
      <c r="A107" s="40">
        <f>'Pilot Project Budget'!B127</f>
        <v>0</v>
      </c>
      <c r="B107" s="4" t="str">
        <f>IF('Pilot Project Budget'!K127="non-UC","No","Yes")</f>
        <v>No</v>
      </c>
      <c r="C107" s="4">
        <f>IF('Pilot Project Budget'!$K127="IC of Above",0,'Pilot Project Budget'!N127+IF('Pilot Project Budget'!$K128="IC of Above",'Pilot Project Budget'!N128,0))</f>
        <v>0</v>
      </c>
      <c r="D107" s="4">
        <f>IF('Pilot Project Budget'!$K127="IC of Above",0,'Pilot Project Budget'!O127+IF('Pilot Project Budget'!$K128="IC of Above",'Pilot Project Budget'!O128,0))</f>
        <v>0</v>
      </c>
      <c r="E107" s="4">
        <f>IF('Pilot Project Budget'!$K127="IC of Above",0,'Pilot Project Budget'!P127+IF('Pilot Project Budget'!$K128="IC of Above",'Pilot Project Budget'!P128,0))</f>
        <v>0</v>
      </c>
      <c r="F107" s="4">
        <f>IF('Pilot Project Budget'!$K127="IC of Above",0,'Pilot Project Budget'!Q127+IF('Pilot Project Budget'!$K128="IC of Above",'Pilot Project Budget'!Q128,0))</f>
        <v>0</v>
      </c>
      <c r="G107" s="4">
        <f>IF('Pilot Project Budget'!$K127="IC of Above",0,'Pilot Project Budget'!R127+IF('Pilot Project Budget'!$K128="IC of Above",'Pilot Project Budget'!R128,0))</f>
        <v>0</v>
      </c>
      <c r="H107" s="4">
        <f t="shared" si="23"/>
        <v>0</v>
      </c>
    </row>
    <row r="108" spans="1:11" x14ac:dyDescent="0.2">
      <c r="A108" s="40">
        <f>'Pilot Project Budget'!B128</f>
        <v>0</v>
      </c>
      <c r="B108" s="4" t="str">
        <f>IF('Pilot Project Budget'!K128="non-UC","No","Yes")</f>
        <v>No</v>
      </c>
      <c r="C108" s="4">
        <f>IF('Pilot Project Budget'!$K128="IC of Above",0,'Pilot Project Budget'!N128+IF('Pilot Project Budget'!$K129="IC of Above",'Pilot Project Budget'!N129,0))</f>
        <v>0</v>
      </c>
      <c r="D108" s="4">
        <f>IF('Pilot Project Budget'!$K128="IC of Above",0,'Pilot Project Budget'!O128+IF('Pilot Project Budget'!$K129="IC of Above",'Pilot Project Budget'!O129,0))</f>
        <v>0</v>
      </c>
      <c r="E108" s="4">
        <f>IF('Pilot Project Budget'!$K128="IC of Above",0,'Pilot Project Budget'!P128+IF('Pilot Project Budget'!$K129="IC of Above",'Pilot Project Budget'!P129,0))</f>
        <v>0</v>
      </c>
      <c r="F108" s="4">
        <f>IF('Pilot Project Budget'!$K128="IC of Above",0,'Pilot Project Budget'!Q128+IF('Pilot Project Budget'!$K129="IC of Above",'Pilot Project Budget'!Q129,0))</f>
        <v>0</v>
      </c>
      <c r="G108" s="4">
        <f>IF('Pilot Project Budget'!$K128="IC of Above",0,'Pilot Project Budget'!R128+IF('Pilot Project Budget'!$K129="IC of Above",'Pilot Project Budget'!R129,0))</f>
        <v>0</v>
      </c>
      <c r="H108" s="4">
        <f t="shared" si="23"/>
        <v>0</v>
      </c>
    </row>
    <row r="109" spans="1:11" x14ac:dyDescent="0.2">
      <c r="A109" s="40">
        <f>'Pilot Project Budget'!B129</f>
        <v>0</v>
      </c>
      <c r="B109" s="4" t="str">
        <f>IF('Pilot Project Budget'!K129="non-UC","No","Yes")</f>
        <v>No</v>
      </c>
      <c r="C109" s="4">
        <f>IF('Pilot Project Budget'!$K129="IC of Above",0,'Pilot Project Budget'!N129+IF('Pilot Project Budget'!$K130="IC of Above",'Pilot Project Budget'!N130,0))</f>
        <v>0</v>
      </c>
      <c r="D109" s="4">
        <f>IF('Pilot Project Budget'!$K129="IC of Above",0,'Pilot Project Budget'!O129+IF('Pilot Project Budget'!$K130="IC of Above",'Pilot Project Budget'!O130,0))</f>
        <v>0</v>
      </c>
      <c r="E109" s="4">
        <f>IF('Pilot Project Budget'!$K129="IC of Above",0,'Pilot Project Budget'!P129+IF('Pilot Project Budget'!$K130="IC of Above",'Pilot Project Budget'!P130,0))</f>
        <v>0</v>
      </c>
      <c r="F109" s="4">
        <f>IF('Pilot Project Budget'!$K129="IC of Above",0,'Pilot Project Budget'!Q129+IF('Pilot Project Budget'!$K130="IC of Above",'Pilot Project Budget'!Q130,0))</f>
        <v>0</v>
      </c>
      <c r="G109" s="4">
        <f>IF('Pilot Project Budget'!$K129="IC of Above",0,'Pilot Project Budget'!R129+IF('Pilot Project Budget'!$K130="IC of Above",'Pilot Project Budget'!R130,0))</f>
        <v>0</v>
      </c>
      <c r="H109" s="4">
        <f t="shared" si="23"/>
        <v>0</v>
      </c>
    </row>
    <row r="110" spans="1:11" x14ac:dyDescent="0.2">
      <c r="A110" s="40">
        <f>'Pilot Project Budget'!B130</f>
        <v>0</v>
      </c>
      <c r="B110" s="4" t="str">
        <f>IF('Pilot Project Budget'!K130="non-UC","No","Yes")</f>
        <v>No</v>
      </c>
      <c r="C110" s="4">
        <f>IF('Pilot Project Budget'!$K130="IC of Above",0,'Pilot Project Budget'!N130+IF('Pilot Project Budget'!$K131="IC of Above",'Pilot Project Budget'!N131,0))</f>
        <v>0</v>
      </c>
      <c r="D110" s="4">
        <f>IF('Pilot Project Budget'!$K130="IC of Above",0,'Pilot Project Budget'!O130+IF('Pilot Project Budget'!$K131="IC of Above",'Pilot Project Budget'!O131,0))</f>
        <v>0</v>
      </c>
      <c r="E110" s="4">
        <f>IF('Pilot Project Budget'!$K130="IC of Above",0,'Pilot Project Budget'!P130+IF('Pilot Project Budget'!$K131="IC of Above",'Pilot Project Budget'!P131,0))</f>
        <v>0</v>
      </c>
      <c r="F110" s="4">
        <f>IF('Pilot Project Budget'!$K130="IC of Above",0,'Pilot Project Budget'!Q130+IF('Pilot Project Budget'!$K131="IC of Above",'Pilot Project Budget'!Q131,0))</f>
        <v>0</v>
      </c>
      <c r="G110" s="4">
        <f>IF('Pilot Project Budget'!$K130="IC of Above",0,'Pilot Project Budget'!R130+IF('Pilot Project Budget'!$K131="IC of Above",'Pilot Project Budget'!R131,0))</f>
        <v>0</v>
      </c>
      <c r="H110" s="4">
        <f t="shared" si="23"/>
        <v>0</v>
      </c>
    </row>
    <row r="111" spans="1:11" x14ac:dyDescent="0.2">
      <c r="A111" s="40">
        <f>'Pilot Project Budget'!B131</f>
        <v>0</v>
      </c>
      <c r="B111" s="4" t="str">
        <f>IF('Pilot Project Budget'!K131="non-UC","No","Yes")</f>
        <v>No</v>
      </c>
      <c r="C111" s="4">
        <f>IF('Pilot Project Budget'!$K131="IC of Above",0,'Pilot Project Budget'!N131+IF('Pilot Project Budget'!$K132="IC of Above",'Pilot Project Budget'!N132,0))</f>
        <v>0</v>
      </c>
      <c r="D111" s="4">
        <f>IF('Pilot Project Budget'!$K131="IC of Above",0,'Pilot Project Budget'!O131+IF('Pilot Project Budget'!$K132="IC of Above",'Pilot Project Budget'!O132,0))</f>
        <v>0</v>
      </c>
      <c r="E111" s="4">
        <f>IF('Pilot Project Budget'!$K131="IC of Above",0,'Pilot Project Budget'!P131+IF('Pilot Project Budget'!$K132="IC of Above",'Pilot Project Budget'!P132,0))</f>
        <v>0</v>
      </c>
      <c r="F111" s="4">
        <f>IF('Pilot Project Budget'!$K131="IC of Above",0,'Pilot Project Budget'!Q131+IF('Pilot Project Budget'!$K132="IC of Above",'Pilot Project Budget'!Q132,0))</f>
        <v>0</v>
      </c>
      <c r="G111" s="4">
        <f>IF('Pilot Project Budget'!$K131="IC of Above",0,'Pilot Project Budget'!R131+IF('Pilot Project Budget'!$K132="IC of Above",'Pilot Project Budget'!R132,0))</f>
        <v>0</v>
      </c>
      <c r="H111" s="4">
        <f t="shared" si="23"/>
        <v>0</v>
      </c>
    </row>
    <row r="112" spans="1:11" x14ac:dyDescent="0.2">
      <c r="A112" s="40">
        <f>'Pilot Project Budget'!B132</f>
        <v>0</v>
      </c>
      <c r="B112" s="4" t="str">
        <f>IF('Pilot Project Budget'!K132="non-UC","No","Yes")</f>
        <v>No</v>
      </c>
      <c r="C112" s="4">
        <f>IF('Pilot Project Budget'!$K132="IC of Above",0,'Pilot Project Budget'!N132+IF('Pilot Project Budget'!$K133="IC of Above",'Pilot Project Budget'!N133,0))</f>
        <v>0</v>
      </c>
      <c r="D112" s="4">
        <f>IF('Pilot Project Budget'!$K132="IC of Above",0,'Pilot Project Budget'!O132+IF('Pilot Project Budget'!$K133="IC of Above",'Pilot Project Budget'!O133,0))</f>
        <v>0</v>
      </c>
      <c r="E112" s="4">
        <f>IF('Pilot Project Budget'!$K132="IC of Above",0,'Pilot Project Budget'!P132+IF('Pilot Project Budget'!$K133="IC of Above",'Pilot Project Budget'!P133,0))</f>
        <v>0</v>
      </c>
      <c r="F112" s="4">
        <f>IF('Pilot Project Budget'!$K132="IC of Above",0,'Pilot Project Budget'!Q132+IF('Pilot Project Budget'!$K133="IC of Above",'Pilot Project Budget'!Q133,0))</f>
        <v>0</v>
      </c>
      <c r="G112" s="4">
        <f>IF('Pilot Project Budget'!$K132="IC of Above",0,'Pilot Project Budget'!R132+IF('Pilot Project Budget'!$K133="IC of Above",'Pilot Project Budget'!R133,0))</f>
        <v>0</v>
      </c>
      <c r="H112" s="4">
        <f t="shared" si="23"/>
        <v>0</v>
      </c>
    </row>
    <row r="113" spans="1:8" x14ac:dyDescent="0.2">
      <c r="A113" s="40">
        <f>'Pilot Project Budget'!B133</f>
        <v>0</v>
      </c>
      <c r="B113" s="4" t="str">
        <f>IF('Pilot Project Budget'!K133="non-UC","No","Yes")</f>
        <v>No</v>
      </c>
      <c r="C113" s="4">
        <f>IF('Pilot Project Budget'!$K133="IC of Above",0,'Pilot Project Budget'!N133+IF('Pilot Project Budget'!$K134="IC of Above",'Pilot Project Budget'!N134,0))</f>
        <v>0</v>
      </c>
      <c r="D113" s="4">
        <f>IF('Pilot Project Budget'!$K133="IC of Above",0,'Pilot Project Budget'!O133+IF('Pilot Project Budget'!$K134="IC of Above",'Pilot Project Budget'!O134,0))</f>
        <v>0</v>
      </c>
      <c r="E113" s="4">
        <f>IF('Pilot Project Budget'!$K133="IC of Above",0,'Pilot Project Budget'!P133+IF('Pilot Project Budget'!$K134="IC of Above",'Pilot Project Budget'!P134,0))</f>
        <v>0</v>
      </c>
      <c r="F113" s="4">
        <f>IF('Pilot Project Budget'!$K133="IC of Above",0,'Pilot Project Budget'!Q133+IF('Pilot Project Budget'!$K134="IC of Above",'Pilot Project Budget'!Q134,0))</f>
        <v>0</v>
      </c>
      <c r="G113" s="4">
        <f>IF('Pilot Project Budget'!$K133="IC of Above",0,'Pilot Project Budget'!R133+IF('Pilot Project Budget'!$K134="IC of Above",'Pilot Project Budget'!R134,0))</f>
        <v>0</v>
      </c>
      <c r="H113" s="4">
        <f t="shared" si="23"/>
        <v>0</v>
      </c>
    </row>
    <row r="114" spans="1:8" x14ac:dyDescent="0.2">
      <c r="A114" s="40">
        <f>'Pilot Project Budget'!B134</f>
        <v>0</v>
      </c>
      <c r="B114" s="4" t="str">
        <f>IF('Pilot Project Budget'!K134="non-UC","No","Yes")</f>
        <v>No</v>
      </c>
      <c r="C114" s="4">
        <f>IF('Pilot Project Budget'!$K134="IC of Above",0,'Pilot Project Budget'!N134+IF('Pilot Project Budget'!$K135="IC of Above",'Pilot Project Budget'!N135,0))</f>
        <v>0</v>
      </c>
      <c r="D114" s="4">
        <f>IF('Pilot Project Budget'!$K134="IC of Above",0,'Pilot Project Budget'!O134+IF('Pilot Project Budget'!$K135="IC of Above",'Pilot Project Budget'!O135,0))</f>
        <v>0</v>
      </c>
      <c r="E114" s="4">
        <f>IF('Pilot Project Budget'!$K134="IC of Above",0,'Pilot Project Budget'!P134+IF('Pilot Project Budget'!$K135="IC of Above",'Pilot Project Budget'!P135,0))</f>
        <v>0</v>
      </c>
      <c r="F114" s="4">
        <f>IF('Pilot Project Budget'!$K134="IC of Above",0,'Pilot Project Budget'!Q134+IF('Pilot Project Budget'!$K135="IC of Above",'Pilot Project Budget'!Q135,0))</f>
        <v>0</v>
      </c>
      <c r="G114" s="4">
        <f>IF('Pilot Project Budget'!$K134="IC of Above",0,'Pilot Project Budget'!R134+IF('Pilot Project Budget'!$K135="IC of Above",'Pilot Project Budget'!R135,0))</f>
        <v>0</v>
      </c>
      <c r="H114" s="4">
        <f t="shared" si="23"/>
        <v>0</v>
      </c>
    </row>
    <row r="115" spans="1:8" x14ac:dyDescent="0.2">
      <c r="A115" s="40">
        <f>'Pilot Project Budget'!B135</f>
        <v>0</v>
      </c>
      <c r="B115" s="4" t="str">
        <f>IF('Pilot Project Budget'!K135="non-UC","No","Yes")</f>
        <v>No</v>
      </c>
      <c r="C115" s="4">
        <f>IF('Pilot Project Budget'!$K135="IC of Above",0,'Pilot Project Budget'!N135+IF('Pilot Project Budget'!$K136="IC of Above",'Pilot Project Budget'!N136,0))</f>
        <v>0</v>
      </c>
      <c r="D115" s="4">
        <f>IF('Pilot Project Budget'!$K135="IC of Above",0,'Pilot Project Budget'!O135+IF('Pilot Project Budget'!$K136="IC of Above",'Pilot Project Budget'!O136,0))</f>
        <v>0</v>
      </c>
      <c r="E115" s="4">
        <f>IF('Pilot Project Budget'!$K135="IC of Above",0,'Pilot Project Budget'!P135+IF('Pilot Project Budget'!$K136="IC of Above",'Pilot Project Budget'!P136,0))</f>
        <v>0</v>
      </c>
      <c r="F115" s="4">
        <f>IF('Pilot Project Budget'!$K135="IC of Above",0,'Pilot Project Budget'!Q135+IF('Pilot Project Budget'!$K136="IC of Above",'Pilot Project Budget'!Q136,0))</f>
        <v>0</v>
      </c>
      <c r="G115" s="4">
        <f>IF('Pilot Project Budget'!$K135="IC of Above",0,'Pilot Project Budget'!R135+IF('Pilot Project Budget'!$K136="IC of Above",'Pilot Project Budget'!R136,0))</f>
        <v>0</v>
      </c>
      <c r="H115" s="4">
        <f t="shared" si="23"/>
        <v>0</v>
      </c>
    </row>
    <row r="116" spans="1:8" x14ac:dyDescent="0.2">
      <c r="A116" s="40">
        <f>'Pilot Project Budget'!B136</f>
        <v>0</v>
      </c>
      <c r="B116" s="4" t="str">
        <f>IF('Pilot Project Budget'!K136="non-UC","No","Yes")</f>
        <v>No</v>
      </c>
      <c r="C116" s="4">
        <f>IF('Pilot Project Budget'!$K136="IC of Above",0,'Pilot Project Budget'!N136+IF('Pilot Project Budget'!$K137="IC of Above",'Pilot Project Budget'!N137,0))</f>
        <v>0</v>
      </c>
      <c r="D116" s="4">
        <f>IF('Pilot Project Budget'!$K136="IC of Above",0,'Pilot Project Budget'!O136+IF('Pilot Project Budget'!$K137="IC of Above",'Pilot Project Budget'!O137,0))</f>
        <v>0</v>
      </c>
      <c r="E116" s="4">
        <f>IF('Pilot Project Budget'!$K136="IC of Above",0,'Pilot Project Budget'!P136+IF('Pilot Project Budget'!$K137="IC of Above",'Pilot Project Budget'!P137,0))</f>
        <v>0</v>
      </c>
      <c r="F116" s="4">
        <f>IF('Pilot Project Budget'!$K136="IC of Above",0,'Pilot Project Budget'!Q136+IF('Pilot Project Budget'!$K137="IC of Above",'Pilot Project Budget'!Q137,0))</f>
        <v>0</v>
      </c>
      <c r="G116" s="4">
        <f>IF('Pilot Project Budget'!$K136="IC of Above",0,'Pilot Project Budget'!R136+IF('Pilot Project Budget'!$K137="IC of Above",'Pilot Project Budget'!R137,0))</f>
        <v>0</v>
      </c>
      <c r="H116" s="4">
        <f t="shared" si="23"/>
        <v>0</v>
      </c>
    </row>
    <row r="117" spans="1:8" x14ac:dyDescent="0.2">
      <c r="A117" s="40">
        <f>'Pilot Project Budget'!B137</f>
        <v>0</v>
      </c>
      <c r="B117" s="4" t="str">
        <f>IF('Pilot Project Budget'!K137="non-UC","No","Yes")</f>
        <v>No</v>
      </c>
      <c r="C117" s="4">
        <f>IF('Pilot Project Budget'!$K137="IC of Above",0,'Pilot Project Budget'!N137+IF('Pilot Project Budget'!$K138="IC of Above",'Pilot Project Budget'!N138,0))</f>
        <v>0</v>
      </c>
      <c r="D117" s="4">
        <f>IF('Pilot Project Budget'!$K137="IC of Above",0,'Pilot Project Budget'!O137+IF('Pilot Project Budget'!$K138="IC of Above",'Pilot Project Budget'!O138,0))</f>
        <v>0</v>
      </c>
      <c r="E117" s="4">
        <f>IF('Pilot Project Budget'!$K137="IC of Above",0,'Pilot Project Budget'!P137+IF('Pilot Project Budget'!$K138="IC of Above",'Pilot Project Budget'!P138,0))</f>
        <v>0</v>
      </c>
      <c r="F117" s="4">
        <f>IF('Pilot Project Budget'!$K137="IC of Above",0,'Pilot Project Budget'!Q137+IF('Pilot Project Budget'!$K138="IC of Above",'Pilot Project Budget'!Q138,0))</f>
        <v>0</v>
      </c>
      <c r="G117" s="4">
        <f>IF('Pilot Project Budget'!$K137="IC of Above",0,'Pilot Project Budget'!R137+IF('Pilot Project Budget'!$K138="IC of Above",'Pilot Project Budget'!R138,0))</f>
        <v>0</v>
      </c>
      <c r="H117" s="4">
        <f t="shared" si="23"/>
        <v>0</v>
      </c>
    </row>
    <row r="118" spans="1:8" x14ac:dyDescent="0.2">
      <c r="A118" s="40">
        <f>'Pilot Project Budget'!B138</f>
        <v>0</v>
      </c>
      <c r="B118" s="4" t="str">
        <f>IF('Pilot Project Budget'!K138="non-UC","No","Yes")</f>
        <v>No</v>
      </c>
      <c r="C118" s="4">
        <f>IF('Pilot Project Budget'!$K138="IC of Above",0,'Pilot Project Budget'!N138+IF('Pilot Project Budget'!$K139="IC of Above",'Pilot Project Budget'!N139,0))</f>
        <v>0</v>
      </c>
      <c r="D118" s="4">
        <f>IF('Pilot Project Budget'!$K138="IC of Above",0,'Pilot Project Budget'!O138+IF('Pilot Project Budget'!$K139="IC of Above",'Pilot Project Budget'!O139,0))</f>
        <v>0</v>
      </c>
      <c r="E118" s="4">
        <f>IF('Pilot Project Budget'!$K138="IC of Above",0,'Pilot Project Budget'!P138+IF('Pilot Project Budget'!$K139="IC of Above",'Pilot Project Budget'!P139,0))</f>
        <v>0</v>
      </c>
      <c r="F118" s="4">
        <f>IF('Pilot Project Budget'!$K138="IC of Above",0,'Pilot Project Budget'!Q138+IF('Pilot Project Budget'!$K139="IC of Above",'Pilot Project Budget'!Q139,0))</f>
        <v>0</v>
      </c>
      <c r="G118" s="4">
        <f>IF('Pilot Project Budget'!$K138="IC of Above",0,'Pilot Project Budget'!R138+IF('Pilot Project Budget'!$K139="IC of Above",'Pilot Project Budget'!R139,0))</f>
        <v>0</v>
      </c>
      <c r="H118" s="4">
        <f t="shared" si="23"/>
        <v>0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>
        <f>'Pilot Project Budget'!B141</f>
        <v>0</v>
      </c>
      <c r="B121" s="4" t="str">
        <f>IF('Pilot Project Budget'!K124="non-UC","No","Yes")</f>
        <v>No</v>
      </c>
      <c r="C121" s="4">
        <f>IF(B104="Yes",0,(IF(C104&gt;25000,25000,C104)))</f>
        <v>0</v>
      </c>
      <c r="D121" s="4">
        <f t="shared" ref="D121:D135" si="24">IF(B121="Yes",0,IF(C104&gt;=25000,0,IF(C104+D104&gt;=25000,25000-C104,D104)))</f>
        <v>0</v>
      </c>
      <c r="E121" s="4">
        <f t="shared" ref="E121:E135" si="25">IF(B121="Yes",0,IF((C104+D104)&gt;=25000,0,IF((C104+D104+E104)&gt;=25000,25000-C104-D104,E104)))</f>
        <v>0</v>
      </c>
      <c r="F121" s="4">
        <f t="shared" ref="F121:F135" si="26">IF(B121="Yes",0,IF((C104+D104+E104)&gt;=25000,0,IF((C104+D104+E104+F104)&gt;=25000,25000-C104-D104-E104,F104)))</f>
        <v>0</v>
      </c>
      <c r="G121" s="4">
        <f t="shared" ref="G121:G135" si="27">IF(B121="Yes",0,IF((C104+D104+E104+F104)&gt;=25000,0,IF((C104+D104+E104+F104+G104)&gt;=25000,25000-C104-D104-E104-F104,G104)))</f>
        <v>0</v>
      </c>
      <c r="H121" s="4">
        <f t="shared" ref="H121:H136" si="28">SUM(C121:G121)</f>
        <v>0</v>
      </c>
    </row>
    <row r="122" spans="1:8" x14ac:dyDescent="0.2">
      <c r="A122" s="40">
        <f>'Pilot Project Budget'!B142</f>
        <v>0</v>
      </c>
      <c r="B122" s="4" t="str">
        <f>IF('Pilot Project Budget'!K125="non-UC","No","Yes")</f>
        <v>No</v>
      </c>
      <c r="C122" s="4">
        <f>IF(B105="Yes",0,(IF(C105&gt;25000,25000,C105)))</f>
        <v>0</v>
      </c>
      <c r="D122" s="4">
        <f t="shared" si="24"/>
        <v>0</v>
      </c>
      <c r="E122" s="4">
        <f t="shared" si="25"/>
        <v>0</v>
      </c>
      <c r="F122" s="4">
        <f t="shared" si="26"/>
        <v>0</v>
      </c>
      <c r="G122" s="4">
        <f t="shared" si="27"/>
        <v>0</v>
      </c>
      <c r="H122" s="4">
        <f t="shared" si="28"/>
        <v>0</v>
      </c>
    </row>
    <row r="123" spans="1:8" x14ac:dyDescent="0.2">
      <c r="A123" s="40">
        <f>'Pilot Project Budget'!B143</f>
        <v>0</v>
      </c>
      <c r="B123" s="4" t="str">
        <f>IF('Pilot Project Budget'!K126="non-UC","No","Yes")</f>
        <v>No</v>
      </c>
      <c r="C123" s="4">
        <f t="shared" ref="C123:C135" si="29">IF(B106="Yes",0,(IF(C106&gt;25000,25000,C106)))</f>
        <v>0</v>
      </c>
      <c r="D123" s="4">
        <f t="shared" si="24"/>
        <v>0</v>
      </c>
      <c r="E123" s="4">
        <f t="shared" si="25"/>
        <v>0</v>
      </c>
      <c r="F123" s="4">
        <f t="shared" si="26"/>
        <v>0</v>
      </c>
      <c r="G123" s="4">
        <f t="shared" si="27"/>
        <v>0</v>
      </c>
      <c r="H123" s="4">
        <f t="shared" si="28"/>
        <v>0</v>
      </c>
    </row>
    <row r="124" spans="1:8" x14ac:dyDescent="0.2">
      <c r="A124" s="40">
        <f>'Pilot Project Budget'!B144</f>
        <v>0</v>
      </c>
      <c r="B124" s="4" t="str">
        <f>IF('Pilot Project Budget'!K127="non-UC","No","Yes")</f>
        <v>No</v>
      </c>
      <c r="C124" s="4">
        <f t="shared" si="29"/>
        <v>0</v>
      </c>
      <c r="D124" s="4">
        <f t="shared" si="24"/>
        <v>0</v>
      </c>
      <c r="E124" s="4">
        <f t="shared" si="25"/>
        <v>0</v>
      </c>
      <c r="F124" s="4">
        <f t="shared" si="26"/>
        <v>0</v>
      </c>
      <c r="G124" s="4">
        <f t="shared" si="27"/>
        <v>0</v>
      </c>
      <c r="H124" s="4">
        <f t="shared" si="28"/>
        <v>0</v>
      </c>
    </row>
    <row r="125" spans="1:8" x14ac:dyDescent="0.2">
      <c r="A125" s="40">
        <f>'Pilot Project Budget'!B145</f>
        <v>0</v>
      </c>
      <c r="B125" s="4" t="str">
        <f>IF('Pilot Project Budget'!K128="non-UC","No","Yes")</f>
        <v>No</v>
      </c>
      <c r="C125" s="4">
        <f t="shared" si="29"/>
        <v>0</v>
      </c>
      <c r="D125" s="4">
        <f t="shared" si="24"/>
        <v>0</v>
      </c>
      <c r="E125" s="4">
        <f t="shared" si="25"/>
        <v>0</v>
      </c>
      <c r="F125" s="4">
        <f t="shared" si="26"/>
        <v>0</v>
      </c>
      <c r="G125" s="4">
        <f t="shared" si="27"/>
        <v>0</v>
      </c>
      <c r="H125" s="4">
        <f t="shared" si="28"/>
        <v>0</v>
      </c>
    </row>
    <row r="126" spans="1:8" x14ac:dyDescent="0.2">
      <c r="A126" s="40">
        <f>'Pilot Project Budget'!B146</f>
        <v>0</v>
      </c>
      <c r="B126" s="4" t="str">
        <f>IF('Pilot Project Budget'!K129="non-UC","No","Yes")</f>
        <v>No</v>
      </c>
      <c r="C126" s="4">
        <f t="shared" si="29"/>
        <v>0</v>
      </c>
      <c r="D126" s="4">
        <f t="shared" si="24"/>
        <v>0</v>
      </c>
      <c r="E126" s="4">
        <f t="shared" si="25"/>
        <v>0</v>
      </c>
      <c r="F126" s="4">
        <f t="shared" si="26"/>
        <v>0</v>
      </c>
      <c r="G126" s="4">
        <f t="shared" si="27"/>
        <v>0</v>
      </c>
      <c r="H126" s="4">
        <f t="shared" si="28"/>
        <v>0</v>
      </c>
    </row>
    <row r="127" spans="1:8" x14ac:dyDescent="0.2">
      <c r="A127" s="40">
        <f>'Pilot Project Budget'!B147</f>
        <v>0</v>
      </c>
      <c r="B127" s="4" t="str">
        <f>IF('Pilot Project Budget'!K130="non-UC","No","Yes")</f>
        <v>No</v>
      </c>
      <c r="C127" s="4">
        <f t="shared" si="29"/>
        <v>0</v>
      </c>
      <c r="D127" s="4">
        <f t="shared" si="24"/>
        <v>0</v>
      </c>
      <c r="E127" s="4">
        <f t="shared" si="25"/>
        <v>0</v>
      </c>
      <c r="F127" s="4">
        <f t="shared" si="26"/>
        <v>0</v>
      </c>
      <c r="G127" s="4">
        <f t="shared" si="27"/>
        <v>0</v>
      </c>
      <c r="H127" s="4">
        <f t="shared" si="28"/>
        <v>0</v>
      </c>
    </row>
    <row r="128" spans="1:8" x14ac:dyDescent="0.2">
      <c r="A128" s="40">
        <f>'Pilot Project Budget'!B148</f>
        <v>0</v>
      </c>
      <c r="B128" s="4" t="str">
        <f>IF('Pilot Project Budget'!K131="non-UC","No","Yes")</f>
        <v>No</v>
      </c>
      <c r="C128" s="4">
        <f t="shared" si="29"/>
        <v>0</v>
      </c>
      <c r="D128" s="4">
        <f t="shared" si="24"/>
        <v>0</v>
      </c>
      <c r="E128" s="4">
        <f t="shared" si="25"/>
        <v>0</v>
      </c>
      <c r="F128" s="4">
        <f t="shared" si="26"/>
        <v>0</v>
      </c>
      <c r="G128" s="4">
        <f t="shared" si="27"/>
        <v>0</v>
      </c>
      <c r="H128" s="4">
        <f t="shared" si="28"/>
        <v>0</v>
      </c>
    </row>
    <row r="129" spans="1:8" x14ac:dyDescent="0.2">
      <c r="A129" s="40">
        <f>'Pilot Project Budget'!B149</f>
        <v>0</v>
      </c>
      <c r="B129" s="4" t="str">
        <f>IF('Pilot Project Budget'!K132="non-UC","No","Yes")</f>
        <v>No</v>
      </c>
      <c r="C129" s="4">
        <f t="shared" si="29"/>
        <v>0</v>
      </c>
      <c r="D129" s="4">
        <f t="shared" si="24"/>
        <v>0</v>
      </c>
      <c r="E129" s="4">
        <f t="shared" si="25"/>
        <v>0</v>
      </c>
      <c r="F129" s="4">
        <f t="shared" si="26"/>
        <v>0</v>
      </c>
      <c r="G129" s="4">
        <f t="shared" si="27"/>
        <v>0</v>
      </c>
      <c r="H129" s="4">
        <f t="shared" si="28"/>
        <v>0</v>
      </c>
    </row>
    <row r="130" spans="1:8" x14ac:dyDescent="0.2">
      <c r="A130" s="40">
        <f>'Pilot Project Budget'!B150</f>
        <v>0</v>
      </c>
      <c r="B130" s="4" t="str">
        <f>IF('Pilot Project Budget'!K133="non-UC","No","Yes")</f>
        <v>No</v>
      </c>
      <c r="C130" s="4">
        <f t="shared" si="29"/>
        <v>0</v>
      </c>
      <c r="D130" s="4">
        <f t="shared" si="24"/>
        <v>0</v>
      </c>
      <c r="E130" s="4">
        <f t="shared" si="25"/>
        <v>0</v>
      </c>
      <c r="F130" s="4">
        <f t="shared" si="26"/>
        <v>0</v>
      </c>
      <c r="G130" s="4">
        <f t="shared" si="27"/>
        <v>0</v>
      </c>
      <c r="H130" s="4">
        <f t="shared" si="28"/>
        <v>0</v>
      </c>
    </row>
    <row r="131" spans="1:8" x14ac:dyDescent="0.2">
      <c r="A131" s="40">
        <f>'Pilot Project Budget'!B151</f>
        <v>0</v>
      </c>
      <c r="B131" s="4" t="str">
        <f>IF('Pilot Project Budget'!K134="non-UC","No","Yes")</f>
        <v>No</v>
      </c>
      <c r="C131" s="4">
        <f t="shared" si="29"/>
        <v>0</v>
      </c>
      <c r="D131" s="4">
        <f t="shared" si="24"/>
        <v>0</v>
      </c>
      <c r="E131" s="4">
        <f t="shared" si="25"/>
        <v>0</v>
      </c>
      <c r="F131" s="4">
        <f t="shared" si="26"/>
        <v>0</v>
      </c>
      <c r="G131" s="4">
        <f t="shared" si="27"/>
        <v>0</v>
      </c>
      <c r="H131" s="4">
        <f t="shared" si="28"/>
        <v>0</v>
      </c>
    </row>
    <row r="132" spans="1:8" x14ac:dyDescent="0.2">
      <c r="A132" s="40">
        <f>'Pilot Project Budget'!B152</f>
        <v>0</v>
      </c>
      <c r="B132" s="4" t="str">
        <f>IF('Pilot Project Budget'!K135="non-UC","No","Yes")</f>
        <v>No</v>
      </c>
      <c r="C132" s="4">
        <f t="shared" si="29"/>
        <v>0</v>
      </c>
      <c r="D132" s="4">
        <f t="shared" si="24"/>
        <v>0</v>
      </c>
      <c r="E132" s="4">
        <f t="shared" si="25"/>
        <v>0</v>
      </c>
      <c r="F132" s="4">
        <f t="shared" si="26"/>
        <v>0</v>
      </c>
      <c r="G132" s="4">
        <f t="shared" si="27"/>
        <v>0</v>
      </c>
      <c r="H132" s="4">
        <f t="shared" si="28"/>
        <v>0</v>
      </c>
    </row>
    <row r="133" spans="1:8" x14ac:dyDescent="0.2">
      <c r="A133" s="40">
        <f>'Pilot Project Budget'!B153</f>
        <v>0</v>
      </c>
      <c r="B133" s="4" t="str">
        <f>IF('Pilot Project Budget'!K136="non-UC","No","Yes")</f>
        <v>No</v>
      </c>
      <c r="C133" s="4">
        <f t="shared" si="29"/>
        <v>0</v>
      </c>
      <c r="D133" s="4">
        <f t="shared" si="24"/>
        <v>0</v>
      </c>
      <c r="E133" s="4">
        <f t="shared" si="25"/>
        <v>0</v>
      </c>
      <c r="F133" s="4">
        <f t="shared" si="26"/>
        <v>0</v>
      </c>
      <c r="G133" s="4">
        <f t="shared" si="27"/>
        <v>0</v>
      </c>
      <c r="H133" s="4">
        <f t="shared" si="28"/>
        <v>0</v>
      </c>
    </row>
    <row r="134" spans="1:8" x14ac:dyDescent="0.2">
      <c r="A134" s="40">
        <f>'Pilot Project Budget'!B154</f>
        <v>0</v>
      </c>
      <c r="B134" s="4" t="str">
        <f>IF('Pilot Project Budget'!K137="non-UC","No","Yes")</f>
        <v>No</v>
      </c>
      <c r="C134" s="4">
        <f t="shared" si="29"/>
        <v>0</v>
      </c>
      <c r="D134" s="4">
        <f t="shared" si="24"/>
        <v>0</v>
      </c>
      <c r="E134" s="4">
        <f t="shared" si="25"/>
        <v>0</v>
      </c>
      <c r="F134" s="4">
        <f t="shared" si="26"/>
        <v>0</v>
      </c>
      <c r="G134" s="4">
        <f t="shared" si="27"/>
        <v>0</v>
      </c>
      <c r="H134" s="4">
        <f t="shared" si="28"/>
        <v>0</v>
      </c>
    </row>
    <row r="135" spans="1:8" x14ac:dyDescent="0.2">
      <c r="A135" s="40">
        <f>'Pilot Project Budget'!B155</f>
        <v>0</v>
      </c>
      <c r="B135" s="4" t="str">
        <f>IF('Pilot Project Budget'!K138="non-UC","No","Yes")</f>
        <v>No</v>
      </c>
      <c r="C135" s="4">
        <f t="shared" si="29"/>
        <v>0</v>
      </c>
      <c r="D135" s="4">
        <f t="shared" si="24"/>
        <v>0</v>
      </c>
      <c r="E135" s="4">
        <f t="shared" si="25"/>
        <v>0</v>
      </c>
      <c r="F135" s="4">
        <f t="shared" si="26"/>
        <v>0</v>
      </c>
      <c r="G135" s="4">
        <f t="shared" si="27"/>
        <v>0</v>
      </c>
      <c r="H135" s="4">
        <f t="shared" si="28"/>
        <v>0</v>
      </c>
    </row>
    <row r="136" spans="1:8" x14ac:dyDescent="0.2">
      <c r="A136" s="313" t="s">
        <v>112</v>
      </c>
      <c r="B136" s="313"/>
      <c r="C136" s="41">
        <f>SUM(C121:C135)</f>
        <v>0</v>
      </c>
      <c r="D136" s="41">
        <f>SUM(D121:D135)</f>
        <v>0</v>
      </c>
      <c r="E136" s="41">
        <f t="shared" ref="E136:G136" si="30">SUM(E121:E135)</f>
        <v>0</v>
      </c>
      <c r="F136" s="41">
        <f t="shared" si="30"/>
        <v>0</v>
      </c>
      <c r="G136" s="41">
        <f t="shared" si="30"/>
        <v>0</v>
      </c>
      <c r="H136" s="41">
        <f t="shared" si="28"/>
        <v>0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>
        <f>'Pilot Project Budget'!B159</f>
        <v>0</v>
      </c>
      <c r="B139" s="4" t="str">
        <f>IF('Pilot Project Budget'!K124="non-UC","No","Yes")</f>
        <v>No</v>
      </c>
      <c r="C139" s="4">
        <f>IF($B139="Yes",0,C104)</f>
        <v>0</v>
      </c>
      <c r="D139" s="4">
        <f t="shared" ref="D139:G139" si="31">IF($B139="Yes",0,D104)</f>
        <v>0</v>
      </c>
      <c r="E139" s="4">
        <f t="shared" si="31"/>
        <v>0</v>
      </c>
      <c r="F139" s="4">
        <f t="shared" si="31"/>
        <v>0</v>
      </c>
      <c r="G139" s="4">
        <f t="shared" si="31"/>
        <v>0</v>
      </c>
      <c r="H139" s="4">
        <f t="shared" ref="H139:H154" si="32">SUM(C139:G139)</f>
        <v>0</v>
      </c>
    </row>
    <row r="140" spans="1:8" x14ac:dyDescent="0.2">
      <c r="A140" s="40">
        <f>'Pilot Project Budget'!B169</f>
        <v>0</v>
      </c>
      <c r="B140" s="4" t="str">
        <f>IF('Pilot Project Budget'!K125="non-UC","No","Yes")</f>
        <v>No</v>
      </c>
      <c r="C140" s="4">
        <f t="shared" ref="C140:G153" si="33">IF($B140="Yes",0,C105)</f>
        <v>0</v>
      </c>
      <c r="D140" s="4">
        <f t="shared" si="33"/>
        <v>0</v>
      </c>
      <c r="E140" s="4">
        <f t="shared" si="33"/>
        <v>0</v>
      </c>
      <c r="F140" s="4">
        <f t="shared" si="33"/>
        <v>0</v>
      </c>
      <c r="G140" s="4">
        <f t="shared" si="33"/>
        <v>0</v>
      </c>
      <c r="H140" s="4">
        <f t="shared" si="32"/>
        <v>0</v>
      </c>
    </row>
    <row r="141" spans="1:8" x14ac:dyDescent="0.2">
      <c r="A141" s="40">
        <f>'Pilot Project Budget'!B170</f>
        <v>0</v>
      </c>
      <c r="B141" s="4" t="str">
        <f>IF('Pilot Project Budget'!K126="non-UC","No","Yes")</f>
        <v>No</v>
      </c>
      <c r="C141" s="4">
        <f t="shared" si="33"/>
        <v>0</v>
      </c>
      <c r="D141" s="4">
        <f t="shared" si="33"/>
        <v>0</v>
      </c>
      <c r="E141" s="4">
        <f t="shared" si="33"/>
        <v>0</v>
      </c>
      <c r="F141" s="4">
        <f t="shared" si="33"/>
        <v>0</v>
      </c>
      <c r="G141" s="4">
        <f t="shared" si="33"/>
        <v>0</v>
      </c>
      <c r="H141" s="4">
        <f t="shared" si="32"/>
        <v>0</v>
      </c>
    </row>
    <row r="142" spans="1:8" x14ac:dyDescent="0.2">
      <c r="A142" s="40">
        <f>'Pilot Project Budget'!B171</f>
        <v>0</v>
      </c>
      <c r="B142" s="4" t="str">
        <f>IF('Pilot Project Budget'!K127="non-UC","No","Yes")</f>
        <v>No</v>
      </c>
      <c r="C142" s="4">
        <f t="shared" si="33"/>
        <v>0</v>
      </c>
      <c r="D142" s="4">
        <f t="shared" si="33"/>
        <v>0</v>
      </c>
      <c r="E142" s="4">
        <f t="shared" si="33"/>
        <v>0</v>
      </c>
      <c r="F142" s="4">
        <f t="shared" si="33"/>
        <v>0</v>
      </c>
      <c r="G142" s="4">
        <f t="shared" si="33"/>
        <v>0</v>
      </c>
      <c r="H142" s="4">
        <f t="shared" si="32"/>
        <v>0</v>
      </c>
    </row>
    <row r="143" spans="1:8" x14ac:dyDescent="0.2">
      <c r="A143" s="40">
        <f>'Pilot Project Budget'!B172</f>
        <v>0</v>
      </c>
      <c r="B143" s="4" t="str">
        <f>IF('Pilot Project Budget'!K128="non-UC","No","Yes")</f>
        <v>No</v>
      </c>
      <c r="C143" s="4">
        <f t="shared" si="33"/>
        <v>0</v>
      </c>
      <c r="D143" s="4">
        <f t="shared" si="33"/>
        <v>0</v>
      </c>
      <c r="E143" s="4">
        <f t="shared" si="33"/>
        <v>0</v>
      </c>
      <c r="F143" s="4">
        <f t="shared" si="33"/>
        <v>0</v>
      </c>
      <c r="G143" s="4">
        <f t="shared" si="33"/>
        <v>0</v>
      </c>
      <c r="H143" s="4">
        <f t="shared" si="32"/>
        <v>0</v>
      </c>
    </row>
    <row r="144" spans="1:8" x14ac:dyDescent="0.2">
      <c r="A144" s="40">
        <f>'Pilot Project Budget'!B173</f>
        <v>0</v>
      </c>
      <c r="B144" s="4" t="str">
        <f>IF('Pilot Project Budget'!K129="non-UC","No","Yes")</f>
        <v>No</v>
      </c>
      <c r="C144" s="4">
        <f t="shared" si="33"/>
        <v>0</v>
      </c>
      <c r="D144" s="4">
        <f t="shared" si="33"/>
        <v>0</v>
      </c>
      <c r="E144" s="4">
        <f t="shared" si="33"/>
        <v>0</v>
      </c>
      <c r="F144" s="4">
        <f t="shared" si="33"/>
        <v>0</v>
      </c>
      <c r="G144" s="4">
        <f t="shared" si="33"/>
        <v>0</v>
      </c>
      <c r="H144" s="4">
        <f t="shared" si="32"/>
        <v>0</v>
      </c>
    </row>
    <row r="145" spans="1:18" x14ac:dyDescent="0.2">
      <c r="A145" s="40">
        <f>'Pilot Project Budget'!B174</f>
        <v>0</v>
      </c>
      <c r="B145" s="4" t="str">
        <f>IF('Pilot Project Budget'!K130="non-UC","No","Yes")</f>
        <v>No</v>
      </c>
      <c r="C145" s="4">
        <f t="shared" si="33"/>
        <v>0</v>
      </c>
      <c r="D145" s="4">
        <f t="shared" si="33"/>
        <v>0</v>
      </c>
      <c r="E145" s="4">
        <f t="shared" si="33"/>
        <v>0</v>
      </c>
      <c r="F145" s="4">
        <f t="shared" si="33"/>
        <v>0</v>
      </c>
      <c r="G145" s="4">
        <f t="shared" si="33"/>
        <v>0</v>
      </c>
      <c r="H145" s="4">
        <f t="shared" si="32"/>
        <v>0</v>
      </c>
    </row>
    <row r="146" spans="1:18" x14ac:dyDescent="0.2">
      <c r="A146" s="40">
        <f>'Pilot Project Budget'!B175</f>
        <v>0</v>
      </c>
      <c r="B146" s="4" t="str">
        <f>IF('Pilot Project Budget'!K131="non-UC","No","Yes")</f>
        <v>No</v>
      </c>
      <c r="C146" s="4">
        <f t="shared" si="33"/>
        <v>0</v>
      </c>
      <c r="D146" s="4">
        <f t="shared" si="33"/>
        <v>0</v>
      </c>
      <c r="E146" s="4">
        <f t="shared" si="33"/>
        <v>0</v>
      </c>
      <c r="F146" s="4">
        <f t="shared" si="33"/>
        <v>0</v>
      </c>
      <c r="G146" s="4">
        <f t="shared" si="33"/>
        <v>0</v>
      </c>
      <c r="H146" s="4">
        <f t="shared" si="32"/>
        <v>0</v>
      </c>
    </row>
    <row r="147" spans="1:18" x14ac:dyDescent="0.2">
      <c r="A147" s="40">
        <f>'Pilot Project Budget'!B176</f>
        <v>0</v>
      </c>
      <c r="B147" s="4" t="str">
        <f>IF('Pilot Project Budget'!K132="non-UC","No","Yes")</f>
        <v>No</v>
      </c>
      <c r="C147" s="4">
        <f t="shared" si="33"/>
        <v>0</v>
      </c>
      <c r="D147" s="4">
        <f t="shared" si="33"/>
        <v>0</v>
      </c>
      <c r="E147" s="4">
        <f t="shared" si="33"/>
        <v>0</v>
      </c>
      <c r="F147" s="4">
        <f t="shared" si="33"/>
        <v>0</v>
      </c>
      <c r="G147" s="4">
        <f t="shared" si="33"/>
        <v>0</v>
      </c>
      <c r="H147" s="4">
        <f t="shared" si="32"/>
        <v>0</v>
      </c>
    </row>
    <row r="148" spans="1:18" x14ac:dyDescent="0.2">
      <c r="A148" s="40">
        <f>'Pilot Project Budget'!B177</f>
        <v>0</v>
      </c>
      <c r="B148" s="4" t="str">
        <f>IF('Pilot Project Budget'!K133="non-UC","No","Yes")</f>
        <v>No</v>
      </c>
      <c r="C148" s="4">
        <f t="shared" si="33"/>
        <v>0</v>
      </c>
      <c r="D148" s="4">
        <f t="shared" si="33"/>
        <v>0</v>
      </c>
      <c r="E148" s="4">
        <f t="shared" si="33"/>
        <v>0</v>
      </c>
      <c r="F148" s="4">
        <f t="shared" si="33"/>
        <v>0</v>
      </c>
      <c r="G148" s="4">
        <f t="shared" si="33"/>
        <v>0</v>
      </c>
      <c r="H148" s="4">
        <f t="shared" si="32"/>
        <v>0</v>
      </c>
    </row>
    <row r="149" spans="1:18" x14ac:dyDescent="0.2">
      <c r="A149" s="40">
        <f>'Pilot Project Budget'!B178</f>
        <v>0</v>
      </c>
      <c r="B149" s="4" t="str">
        <f>IF('Pilot Project Budget'!K134="non-UC","No","Yes")</f>
        <v>No</v>
      </c>
      <c r="C149" s="4">
        <f t="shared" si="33"/>
        <v>0</v>
      </c>
      <c r="D149" s="4">
        <f t="shared" si="33"/>
        <v>0</v>
      </c>
      <c r="E149" s="4">
        <f t="shared" si="33"/>
        <v>0</v>
      </c>
      <c r="F149" s="4">
        <f t="shared" si="33"/>
        <v>0</v>
      </c>
      <c r="G149" s="4">
        <f t="shared" si="33"/>
        <v>0</v>
      </c>
      <c r="H149" s="4">
        <f t="shared" si="32"/>
        <v>0</v>
      </c>
    </row>
    <row r="150" spans="1:18" x14ac:dyDescent="0.2">
      <c r="A150" s="40">
        <f>'Pilot Project Budget'!B179</f>
        <v>0</v>
      </c>
      <c r="B150" s="4" t="str">
        <f>IF('Pilot Project Budget'!K135="non-UC","No","Yes")</f>
        <v>No</v>
      </c>
      <c r="C150" s="4">
        <f t="shared" si="33"/>
        <v>0</v>
      </c>
      <c r="D150" s="4">
        <f t="shared" si="33"/>
        <v>0</v>
      </c>
      <c r="E150" s="4">
        <f t="shared" si="33"/>
        <v>0</v>
      </c>
      <c r="F150" s="4">
        <f t="shared" si="33"/>
        <v>0</v>
      </c>
      <c r="G150" s="4">
        <f t="shared" si="33"/>
        <v>0</v>
      </c>
      <c r="H150" s="4">
        <f t="shared" si="32"/>
        <v>0</v>
      </c>
    </row>
    <row r="151" spans="1:18" x14ac:dyDescent="0.2">
      <c r="A151" s="40">
        <f>'Pilot Project Budget'!B180</f>
        <v>0</v>
      </c>
      <c r="B151" s="4" t="str">
        <f>IF('Pilot Project Budget'!K136="non-UC","No","Yes")</f>
        <v>No</v>
      </c>
      <c r="C151" s="4">
        <f t="shared" si="33"/>
        <v>0</v>
      </c>
      <c r="D151" s="4">
        <f t="shared" si="33"/>
        <v>0</v>
      </c>
      <c r="E151" s="4">
        <f t="shared" si="33"/>
        <v>0</v>
      </c>
      <c r="F151" s="4">
        <f t="shared" si="33"/>
        <v>0</v>
      </c>
      <c r="G151" s="4">
        <f t="shared" si="33"/>
        <v>0</v>
      </c>
      <c r="H151" s="4">
        <f t="shared" si="32"/>
        <v>0</v>
      </c>
    </row>
    <row r="152" spans="1:18" x14ac:dyDescent="0.2">
      <c r="A152" s="40">
        <f>'Pilot Project Budget'!B181</f>
        <v>0</v>
      </c>
      <c r="B152" s="4" t="str">
        <f>IF('Pilot Project Budget'!K137="non-UC","No","Yes")</f>
        <v>No</v>
      </c>
      <c r="C152" s="4">
        <f t="shared" si="33"/>
        <v>0</v>
      </c>
      <c r="D152" s="4">
        <f t="shared" si="33"/>
        <v>0</v>
      </c>
      <c r="E152" s="4">
        <f t="shared" si="33"/>
        <v>0</v>
      </c>
      <c r="F152" s="4">
        <f t="shared" si="33"/>
        <v>0</v>
      </c>
      <c r="G152" s="4">
        <f t="shared" si="33"/>
        <v>0</v>
      </c>
      <c r="H152" s="4">
        <f t="shared" si="32"/>
        <v>0</v>
      </c>
    </row>
    <row r="153" spans="1:18" x14ac:dyDescent="0.2">
      <c r="A153" s="40">
        <f>'Pilot Project Budget'!B182</f>
        <v>0</v>
      </c>
      <c r="B153" s="4" t="str">
        <f>IF('Pilot Project Budget'!K138="non-UC","No","Yes")</f>
        <v>No</v>
      </c>
      <c r="C153" s="4">
        <f t="shared" si="33"/>
        <v>0</v>
      </c>
      <c r="D153" s="4">
        <f t="shared" si="33"/>
        <v>0</v>
      </c>
      <c r="E153" s="4">
        <f t="shared" si="33"/>
        <v>0</v>
      </c>
      <c r="F153" s="4">
        <f t="shared" si="33"/>
        <v>0</v>
      </c>
      <c r="G153" s="4">
        <f t="shared" si="33"/>
        <v>0</v>
      </c>
      <c r="H153" s="4">
        <f t="shared" si="32"/>
        <v>0</v>
      </c>
    </row>
    <row r="154" spans="1:18" x14ac:dyDescent="0.2">
      <c r="A154" s="313" t="s">
        <v>112</v>
      </c>
      <c r="B154" s="313"/>
      <c r="C154" s="41">
        <f>SUM(C139:C153)</f>
        <v>0</v>
      </c>
      <c r="D154" s="41">
        <f>SUM(D139:D153)</f>
        <v>0</v>
      </c>
      <c r="E154" s="41">
        <f t="shared" ref="E154" si="34">SUM(E139:E153)</f>
        <v>0</v>
      </c>
      <c r="F154" s="41">
        <f t="shared" ref="F154" si="35">SUM(F139:F153)</f>
        <v>0</v>
      </c>
      <c r="G154" s="41">
        <f t="shared" ref="G154" si="36">SUM(G139:G153)</f>
        <v>0</v>
      </c>
      <c r="H154" s="41">
        <f t="shared" si="32"/>
        <v>0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>
        <f>'Pilot Project Budget'!N61+'Pilot Project Budget'!N84+'Pilot Project Budget'!N121+'Pilot Project Budget'!N151+SUM('Pilot Project Budget'!N170:N174)+SUM('Pilot Project Budget'!N185:N202)+'W1'!C136</f>
        <v>0</v>
      </c>
      <c r="D157" s="41">
        <f>IF(D4="",0,('Pilot Project Budget'!O61+'Pilot Project Budget'!O84+'Pilot Project Budget'!O121+'Pilot Project Budget'!O151+SUM('Pilot Project Budget'!O170:O174)+SUM('Pilot Project Budget'!O185:O202)+'W1'!D136))</f>
        <v>0</v>
      </c>
      <c r="E157" s="41">
        <f>IF(E4="",0,('Pilot Project Budget'!P61+'Pilot Project Budget'!P84+'Pilot Project Budget'!P121+'Pilot Project Budget'!P151+SUM('Pilot Project Budget'!P170:P174)+SUM('Pilot Project Budget'!P185:P202)+'W1'!E136))</f>
        <v>0</v>
      </c>
      <c r="F157" s="41">
        <f>IF(F4="",0,('Pilot Project Budget'!Q61+'Pilot Project Budget'!Q84+'Pilot Project Budget'!Q121+'Pilot Project Budget'!Q151+SUM('Pilot Project Budget'!Q170:Q174)+SUM('Pilot Project Budget'!Q185:Q202)+'W1'!F136))</f>
        <v>0</v>
      </c>
      <c r="G157" s="41">
        <f>IF(G4="",0,('Pilot Project Budget'!R61+'Pilot Project Budget'!R84+'Pilot Project Budget'!R121+'Pilot Project Budget'!R151+SUM('Pilot Project Budget'!R170:R174)+SUM('Pilot Project Budget'!R185:R202)+'W1'!G136))</f>
        <v>0</v>
      </c>
      <c r="H157" s="42">
        <f>SUM(C157:G157)</f>
        <v>0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>
        <f ca="1">'Pilot Project Budget'!N204-'Pilot Project Budget'!N139+'W1'!C154</f>
        <v>0</v>
      </c>
      <c r="D158" s="42">
        <f ca="1">IF(D4="",0,('Pilot Project Budget'!O204-'Pilot Project Budget'!O139+'W1'!D154))</f>
        <v>0</v>
      </c>
      <c r="E158" s="42">
        <f>IF(E4="",0,('Pilot Project Budget'!P204-'Pilot Project Budget'!P139+'W1'!E154))</f>
        <v>0</v>
      </c>
      <c r="F158" s="42">
        <f>IF(F4="",0,('Pilot Project Budget'!Q204-'Pilot Project Budget'!Q139+'W1'!F154))</f>
        <v>0</v>
      </c>
      <c r="G158" s="42">
        <f>IF(G4="",0,('Pilot Project Budget'!R204-'Pilot Project Budget'!R139+'W1'!G154))</f>
        <v>0</v>
      </c>
      <c r="H158" s="42">
        <f ca="1">SUM(C158:G158)</f>
        <v>0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 ca="1">ROUND(('Pilot Project Budget'!N204-'Pilot Project Budget'!N139+'W1'!C154)/(1-'Pilot Project Budget'!#REF!),0)</f>
        <v>#REF!</v>
      </c>
      <c r="D159" s="41" t="e">
        <f ca="1">IF(D4="",0,(ROUND(('Pilot Project Budget'!O204-'Pilot Project Budget'!O139+'W1'!D154)/(1-'Pilot Project Budget'!#REF!),0)))</f>
        <v>#REF!</v>
      </c>
      <c r="E159" s="41">
        <f>IF(E4="",0,(ROUND(('Pilot Project Budget'!P204-'Pilot Project Budget'!P139+'W1'!E154)/(1-'Pilot Project Budget'!#REF!),0)))</f>
        <v>0</v>
      </c>
      <c r="F159" s="41">
        <f>IF(F4="",0,(ROUND(('Pilot Project Budget'!Q204-'Pilot Project Budget'!Q139+'W1'!F154)/(1-'Pilot Project Budget'!#REF!),0)))</f>
        <v>0</v>
      </c>
      <c r="G159" s="41">
        <f>IF(G4="",0,(ROUND(('Pilot Project Budget'!R204-'Pilot Project Budget'!R139+'W1'!G154)/(1-'Pilot Project Budget'!#REF!),0)))</f>
        <v>0</v>
      </c>
      <c r="H159" s="42" t="e">
        <f ca="1"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>
        <f>SUM('Pilot Project Budget'!N170:N174)</f>
        <v>0</v>
      </c>
      <c r="D160" s="216">
        <f>SUM('Pilot Project Budget'!O170:O174)</f>
        <v>0</v>
      </c>
      <c r="E160" s="216">
        <f>SUM('Pilot Project Budget'!P170:P174)</f>
        <v>0</v>
      </c>
      <c r="F160" s="216">
        <f>SUM('Pilot Project Budget'!Q170:Q174)</f>
        <v>0</v>
      </c>
      <c r="G160" s="216">
        <f>SUM('Pilot Project Budget'!R170:R174)</f>
        <v>0</v>
      </c>
      <c r="H160" s="216">
        <f>SUM(C160:G160)</f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str">
        <f>'Pilot Project Budget'!D157</f>
        <v>Resident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>
        <f>'Pilot Project Budget'!A157</f>
        <v>0</v>
      </c>
      <c r="B162" s="26">
        <f>'Pilot Project Budget'!F157</f>
        <v>0.03</v>
      </c>
      <c r="C162" s="41">
        <f>'Pilot Project Budget'!G157</f>
        <v>17892</v>
      </c>
      <c r="D162" s="41">
        <f>IF('Pilot Project Budget'!$D$156="Use Buydown",C162*0.75,C162)</f>
        <v>13419</v>
      </c>
      <c r="E162" s="41">
        <f ca="1">IF('Pilot Project Budget'!$F$156="AY",ROUND(D162*((1+B162)^$B$24),0),D162)</f>
        <v>13822</v>
      </c>
      <c r="F162" s="41">
        <f ca="1">IF('Pilot Project Budget'!$F$156="AY",ROUND(D162*((1+$B162)^($B$24+1)),0),ROUND(E162*(1+B162),0))</f>
        <v>14236</v>
      </c>
      <c r="G162" s="41">
        <f ca="1">IF('Pilot Project Budget'!$F$156="AY",ROUND(D162*((1+$B162)^($B$24+2)),0),ROUND(F162*(1+$B162),0))</f>
        <v>14663</v>
      </c>
      <c r="H162" s="41">
        <f ca="1">IF('Pilot Project Budget'!$F$156="AY",ROUND(D162*((1+$B162)^($B$24+3)),0),ROUND(G162*(1+$B162),0))</f>
        <v>15103</v>
      </c>
      <c r="I162" s="41">
        <f ca="1">IF('Pilot Project Budget'!$F$156="AY",ROUND(D162*((1+$B162)^($B$24+4)),0),ROUND(H162*(1+$B162),0))</f>
        <v>15556</v>
      </c>
      <c r="J162" s="41">
        <f ca="1">IF('Pilot Project Budget'!$F$156="AY",ROUND(D162*((1+$B162)^($B$24+5)),0),ROUND(I162*(1+$B162),0))</f>
        <v>16023</v>
      </c>
      <c r="K162" s="112">
        <f ca="1">IF(C$5=0,0,IF('Pilot Project Budget'!$F$156="AY",(E162*C$27+F162*C$28)/C$29,'W1'!E162))</f>
        <v>14098</v>
      </c>
      <c r="L162" s="112">
        <f ca="1">IF(D$5=0,0,IF('Pilot Project Budget'!$F$156="AY",(F162*D$27+G162*D$28)/D$29,'W1'!F162))</f>
        <v>14520.666666666666</v>
      </c>
      <c r="M162" s="112">
        <f>IF(E$5=0,0,IF('Pilot Project Budget'!$F$156="AY",(G162*E$27+H162*E$28)/E$29,'W1'!G162))</f>
        <v>0</v>
      </c>
      <c r="N162" s="112">
        <f>IF(F$5=0,0,IF('Pilot Project Budget'!$F$156="AY",(H162*F$27+I162*F$28)/F$29,'W1'!H162))</f>
        <v>0</v>
      </c>
      <c r="O162" s="112">
        <f>IF(G$5=0,0,IF('Pilot Project Budget'!$F$156="AY",(I162*G$27+J162*G$28)/G$29,'W1'!I162))</f>
        <v>0</v>
      </c>
      <c r="P162" s="23"/>
      <c r="Q162" s="23"/>
      <c r="R162" s="23"/>
    </row>
    <row r="163" spans="1:18" x14ac:dyDescent="0.2">
      <c r="A163" s="4">
        <f>'Pilot Project Budget'!A158</f>
        <v>0</v>
      </c>
      <c r="B163" s="26">
        <f>'Pilot Project Budget'!F158</f>
        <v>0.03</v>
      </c>
      <c r="C163" s="41">
        <f>'Pilot Project Budget'!G158</f>
        <v>17892</v>
      </c>
      <c r="D163" s="41">
        <f>IF('Pilot Project Budget'!$D$156="Use Buydown",C163*0.75,C163)</f>
        <v>13419</v>
      </c>
      <c r="E163" s="41">
        <f ca="1">IF('Pilot Project Budget'!$F$156="AY",ROUND(D163*((1+B163)^$B$24),0),D163)</f>
        <v>13822</v>
      </c>
      <c r="F163" s="41">
        <f ca="1">IF('Pilot Project Budget'!$F$156="AY",ROUND(D163*((1+$B163)^($B$24+1)),0),ROUND(E163*(1+B163),0))</f>
        <v>14236</v>
      </c>
      <c r="G163" s="41">
        <f ca="1">IF('Pilot Project Budget'!$F$156="AY",ROUND(D163*((1+$B163)^($B$24+2)),0),ROUND(F163*(1+$B163),0))</f>
        <v>14663</v>
      </c>
      <c r="H163" s="41">
        <f ca="1">IF('Pilot Project Budget'!$F$156="AY",ROUND(D163*((1+$B163)^($B$24+3)),0),ROUND(G163*(1+$B163),0))</f>
        <v>15103</v>
      </c>
      <c r="I163" s="41">
        <f ca="1">IF('Pilot Project Budget'!$F$156="AY",ROUND(D163*((1+$B163)^($B$24+4)),0),ROUND(H163*(1+$B163),0))</f>
        <v>15556</v>
      </c>
      <c r="J163" s="41">
        <f ca="1">IF('Pilot Project Budget'!$F$156="AY",ROUND(D163*((1+$B163)^($B$24+5)),0),ROUND(I163*(1+$B163),0))</f>
        <v>16023</v>
      </c>
      <c r="K163" s="112">
        <f ca="1">IF(C$5=0,0,IF('Pilot Project Budget'!$F$156="AY",(E163*C$27+F163*C$28)/C$29,'W1'!E163))</f>
        <v>14098</v>
      </c>
      <c r="L163" s="112">
        <f ca="1">IF(D$5=0,0,IF('Pilot Project Budget'!$F$156="AY",(F163*D$27+G163*D$28)/D$29,'W1'!F163))</f>
        <v>14520.666666666666</v>
      </c>
      <c r="M163" s="112">
        <f>IF(E$5=0,0,IF('Pilot Project Budget'!$F$156="AY",(G163*E$27+H163*E$28)/E$29,'W1'!G163))</f>
        <v>0</v>
      </c>
      <c r="N163" s="112">
        <f>IF(F$5=0,0,IF('Pilot Project Budget'!$F$156="AY",(H163*F$27+I163*F$28)/F$29,'W1'!H163))</f>
        <v>0</v>
      </c>
      <c r="O163" s="112">
        <f>IF(G$5=0,0,IF('Pilot Project Budget'!$F$156="AY",(I163*G$27+J163*G$28)/G$29,'W1'!I163))</f>
        <v>0</v>
      </c>
      <c r="P163" s="23"/>
      <c r="Q163" s="23"/>
      <c r="R163" s="23"/>
    </row>
    <row r="164" spans="1:18" x14ac:dyDescent="0.2">
      <c r="A164" s="4">
        <f>'Pilot Project Budget'!A159</f>
        <v>0</v>
      </c>
      <c r="B164" s="26">
        <f>'Pilot Project Budget'!F159</f>
        <v>0.03</v>
      </c>
      <c r="C164" s="41">
        <f>'Pilot Project Budget'!G159</f>
        <v>32994</v>
      </c>
      <c r="D164" s="41">
        <f>IF('Pilot Project Budget'!$D$156="Use Buydown",C164*0.75,C164)</f>
        <v>24745.5</v>
      </c>
      <c r="E164" s="41">
        <f ca="1">IF('Pilot Project Budget'!$F$156="AY",ROUND(D164*((1+B164)^$B$24),0),D164)</f>
        <v>25488</v>
      </c>
      <c r="F164" s="41">
        <f ca="1">IF('Pilot Project Budget'!$F$156="AY",ROUND(D164*((1+$B164)^($B$24+1)),0),ROUND(E164*(1+B164),0))</f>
        <v>26253</v>
      </c>
      <c r="G164" s="41">
        <f ca="1">IF('Pilot Project Budget'!$F$156="AY",ROUND(D164*((1+$B164)^($B$24+2)),0),ROUND(F164*(1+$B164),0))</f>
        <v>27040</v>
      </c>
      <c r="H164" s="41">
        <f ca="1">IF('Pilot Project Budget'!$F$156="AY",ROUND(D164*((1+$B164)^($B$24+3)),0),ROUND(G164*(1+$B164),0))</f>
        <v>27851</v>
      </c>
      <c r="I164" s="41">
        <f ca="1">IF('Pilot Project Budget'!$F$156="AY",ROUND(D164*((1+$B164)^($B$24+4)),0),ROUND(H164*(1+$B164),0))</f>
        <v>28687</v>
      </c>
      <c r="J164" s="41">
        <f ca="1">IF('Pilot Project Budget'!$F$156="AY",ROUND(D164*((1+$B164)^($B$24+5)),0),ROUND(I164*(1+$B164),0))</f>
        <v>29547</v>
      </c>
      <c r="K164" s="112">
        <f ca="1">IF(C$5=0,0,IF('Pilot Project Budget'!$F$156="AY",(E164*C$27+F164*C$28)/C$29,'W1'!E164))</f>
        <v>25998</v>
      </c>
      <c r="L164" s="112">
        <f ca="1">IF(D$5=0,0,IF('Pilot Project Budget'!$F$156="AY",(F164*D$27+G164*D$28)/D$29,'W1'!F164))</f>
        <v>26777.666666666668</v>
      </c>
      <c r="M164" s="112">
        <f>IF(E$5=0,0,IF('Pilot Project Budget'!$F$156="AY",(G164*E$27+H164*E$28)/E$29,'W1'!G164))</f>
        <v>0</v>
      </c>
      <c r="N164" s="112">
        <f>IF(F$5=0,0,IF('Pilot Project Budget'!$F$156="AY",(H164*F$27+I164*F$28)/F$29,'W1'!H164))</f>
        <v>0</v>
      </c>
      <c r="O164" s="112">
        <f>IF(G$5=0,0,IF('Pilot Project Budget'!$F$156="AY",(I164*G$27+J164*G$28)/G$29,'W1'!I164))</f>
        <v>0</v>
      </c>
      <c r="P164" s="23"/>
      <c r="Q164" s="23"/>
      <c r="R164" s="23"/>
    </row>
    <row r="165" spans="1:18" x14ac:dyDescent="0.2">
      <c r="A165" s="4">
        <f>'Pilot Project Budget'!A160</f>
        <v>0</v>
      </c>
      <c r="B165" s="26">
        <f>'Pilot Project Budget'!F160</f>
        <v>0.03</v>
      </c>
      <c r="C165" s="41">
        <f>'Pilot Project Budget'!G160</f>
        <v>17892</v>
      </c>
      <c r="D165" s="41">
        <f>IF('Pilot Project Budget'!$D$156="Use Buydown",C165*0.75,C165)</f>
        <v>13419</v>
      </c>
      <c r="E165" s="41">
        <f ca="1">IF('Pilot Project Budget'!$F$156="AY",ROUND(D165*((1+B165)^$B$24),0),D165)</f>
        <v>13822</v>
      </c>
      <c r="F165" s="41">
        <f ca="1">IF('Pilot Project Budget'!$F$156="AY",ROUND(D165*((1+$B165)^($B$24+1)),0),ROUND(E165*(1+B165),0))</f>
        <v>14236</v>
      </c>
      <c r="G165" s="41">
        <f ca="1">IF('Pilot Project Budget'!$F$156="AY",ROUND(D165*((1+$B165)^($B$24+2)),0),ROUND(F165*(1+$B165),0))</f>
        <v>14663</v>
      </c>
      <c r="H165" s="41">
        <f ca="1">IF('Pilot Project Budget'!$F$156="AY",ROUND(D165*((1+$B165)^($B$24+3)),0),ROUND(G165*(1+$B165),0))</f>
        <v>15103</v>
      </c>
      <c r="I165" s="41">
        <f ca="1">IF('Pilot Project Budget'!$F$156="AY",ROUND(D165*((1+$B165)^($B$24+4)),0),ROUND(H165*(1+$B165),0))</f>
        <v>15556</v>
      </c>
      <c r="J165" s="41">
        <f ca="1">IF('Pilot Project Budget'!$F$156="AY",ROUND(D165*((1+$B165)^($B$24+5)),0),ROUND(I165*(1+$B165),0))</f>
        <v>16023</v>
      </c>
      <c r="K165" s="112">
        <f ca="1">IF(C$5=0,0,IF('Pilot Project Budget'!$F$156="AY",(E165*C$27+F165*C$28)/C$29,'W1'!E165))</f>
        <v>14098</v>
      </c>
      <c r="L165" s="112">
        <f ca="1">IF(D$5=0,0,IF('Pilot Project Budget'!$F$156="AY",(F165*D$27+G165*D$28)/D$29,'W1'!F165))</f>
        <v>14520.666666666666</v>
      </c>
      <c r="M165" s="112">
        <f>IF(E$5=0,0,IF('Pilot Project Budget'!$F$156="AY",(G165*E$27+H165*E$28)/E$29,'W1'!G165))</f>
        <v>0</v>
      </c>
      <c r="N165" s="112">
        <f>IF(F$5=0,0,IF('Pilot Project Budget'!$F$156="AY",(H165*F$27+I165*F$28)/F$29,'W1'!H165))</f>
        <v>0</v>
      </c>
      <c r="O165" s="112">
        <f>IF(G$5=0,0,IF('Pilot Project Budget'!$F$156="AY",(I165*G$27+J165*G$28)/G$29,'W1'!I165))</f>
        <v>0</v>
      </c>
      <c r="P165" s="23"/>
      <c r="Q165" s="23"/>
      <c r="R165" s="23"/>
    </row>
    <row r="166" spans="1:18" x14ac:dyDescent="0.2">
      <c r="A166" s="4">
        <f>'Pilot Project Budget'!A161</f>
        <v>0</v>
      </c>
      <c r="B166" s="26">
        <f>'Pilot Project Budget'!F161</f>
        <v>0.1</v>
      </c>
      <c r="C166" s="41">
        <f>'Pilot Project Budget'!G161</f>
        <v>17892</v>
      </c>
      <c r="D166" s="41">
        <f>IF('Pilot Project Budget'!$D$156="Use Buydown",C166*0.75,C166)</f>
        <v>13419</v>
      </c>
      <c r="E166" s="41">
        <f ca="1">IF('Pilot Project Budget'!$F$156="AY",ROUND(D166*((1+B166)^$B$24),0),D166)</f>
        <v>14761</v>
      </c>
      <c r="F166" s="41">
        <f ca="1">IF('Pilot Project Budget'!$F$156="AY",ROUND(D166*((1+$B166)^($B$24+1)),0),ROUND(E166*(1+B166),0))</f>
        <v>16237</v>
      </c>
      <c r="G166" s="41">
        <f ca="1">IF('Pilot Project Budget'!$F$156="AY",ROUND(D166*((1+$B166)^($B$24+2)),0),ROUND(F166*(1+$B166),0))</f>
        <v>17861</v>
      </c>
      <c r="H166" s="41">
        <f ca="1">IF('Pilot Project Budget'!$F$156="AY",ROUND(D166*((1+$B166)^($B$24+3)),0),ROUND(G166*(1+$B166),0))</f>
        <v>19647</v>
      </c>
      <c r="I166" s="41">
        <f ca="1">IF('Pilot Project Budget'!$F$156="AY",ROUND(D166*((1+$B166)^($B$24+4)),0),ROUND(H166*(1+$B166),0))</f>
        <v>21611</v>
      </c>
      <c r="J166" s="41">
        <f ca="1">IF('Pilot Project Budget'!$F$156="AY",ROUND(D166*((1+$B166)^($B$24+5)),0),ROUND(I166*(1+$B166),0))</f>
        <v>23773</v>
      </c>
      <c r="K166" s="112">
        <f ca="1">IF(C$5=0,0,IF('Pilot Project Budget'!$F$156="AY",(E166*C$27+F166*C$28)/C$29,'W1'!E166))</f>
        <v>15745</v>
      </c>
      <c r="L166" s="112">
        <f ca="1">IF(D$5=0,0,IF('Pilot Project Budget'!$F$156="AY",(F166*D$27+G166*D$28)/D$29,'W1'!F166))</f>
        <v>17319.666666666668</v>
      </c>
      <c r="M166" s="112">
        <f>IF(E$5=0,0,IF('Pilot Project Budget'!$F$156="AY",(G166*E$27+H166*E$28)/E$29,'W1'!G166))</f>
        <v>0</v>
      </c>
      <c r="N166" s="112">
        <f>IF(F$5=0,0,IF('Pilot Project Budget'!$F$156="AY",(H166*F$27+I166*F$28)/F$29,'W1'!H166))</f>
        <v>0</v>
      </c>
      <c r="O166" s="112">
        <f>IF(G$5=0,0,IF('Pilot Project Budget'!$F$156="AY",(I166*G$27+J166*G$28)/G$29,'W1'!I166))</f>
        <v>0</v>
      </c>
      <c r="P166" s="23"/>
      <c r="Q166" s="23"/>
      <c r="R166" s="23"/>
    </row>
    <row r="167" spans="1:18" x14ac:dyDescent="0.2">
      <c r="A167" s="4">
        <f>'Pilot Project Budget'!A162</f>
        <v>0</v>
      </c>
      <c r="B167" s="26">
        <f>'Pilot Project Budget'!F162</f>
        <v>0.1</v>
      </c>
      <c r="C167" s="41">
        <f>'Pilot Project Budget'!G162</f>
        <v>17892</v>
      </c>
      <c r="D167" s="41">
        <f>IF('Pilot Project Budget'!$D$156="Use Buydown",C167*0.75,C167)</f>
        <v>13419</v>
      </c>
      <c r="E167" s="41">
        <f ca="1">IF('Pilot Project Budget'!$F$156="AY",ROUND(D167*((1+B167)^$B$24),0),D167)</f>
        <v>14761</v>
      </c>
      <c r="F167" s="41">
        <f ca="1">IF('Pilot Project Budget'!$F$156="AY",ROUND(D167*((1+$B167)^($B$24+1)),0),ROUND(E167*(1+B167),0))</f>
        <v>16237</v>
      </c>
      <c r="G167" s="41">
        <f ca="1">IF('Pilot Project Budget'!$F$156="AY",ROUND(D167*((1+$B167)^($B$24+2)),0),ROUND(F167*(1+$B167),0))</f>
        <v>17861</v>
      </c>
      <c r="H167" s="41">
        <f ca="1">IF('Pilot Project Budget'!$F$156="AY",ROUND(D167*((1+$B167)^($B$24+3)),0),ROUND(G167*(1+$B167),0))</f>
        <v>19647</v>
      </c>
      <c r="I167" s="41">
        <f ca="1">IF('Pilot Project Budget'!$F$156="AY",ROUND(D167*((1+$B167)^($B$24+4)),0),ROUND(H167*(1+$B167),0))</f>
        <v>21611</v>
      </c>
      <c r="J167" s="41">
        <f ca="1">IF('Pilot Project Budget'!$F$156="AY",ROUND(D167*((1+$B167)^($B$24+5)),0),ROUND(I167*(1+$B167),0))</f>
        <v>23773</v>
      </c>
      <c r="K167" s="112">
        <f ca="1">IF(C$5=0,0,IF('Pilot Project Budget'!$F$156="AY",(E167*C$27+F167*C$28)/C$29,'W1'!E167))</f>
        <v>15745</v>
      </c>
      <c r="L167" s="112">
        <f ca="1">IF(D$5=0,0,IF('Pilot Project Budget'!$F$156="AY",(F167*D$27+G167*D$28)/D$29,'W1'!F167))</f>
        <v>17319.666666666668</v>
      </c>
      <c r="M167" s="112">
        <f>IF(E$5=0,0,IF('Pilot Project Budget'!$F$156="AY",(G167*E$27+H167*E$28)/E$29,'W1'!G167))</f>
        <v>0</v>
      </c>
      <c r="N167" s="112">
        <f>IF(F$5=0,0,IF('Pilot Project Budget'!$F$156="AY",(H167*F$27+I167*F$28)/F$29,'W1'!H167))</f>
        <v>0</v>
      </c>
      <c r="O167" s="112">
        <f>IF(G$5=0,0,IF('Pilot Project Budget'!$F$156="AY",(I167*G$27+J167*G$28)/G$29,'W1'!I167))</f>
        <v>0</v>
      </c>
      <c r="P167" s="23"/>
      <c r="Q167" s="23"/>
      <c r="R167" s="23"/>
    </row>
    <row r="168" spans="1:18" x14ac:dyDescent="0.2">
      <c r="A168" s="4">
        <f>'Pilot Project Budget'!A163</f>
        <v>0</v>
      </c>
      <c r="B168" s="26">
        <f>'Pilot Project Budget'!F163</f>
        <v>0.1</v>
      </c>
      <c r="C168" s="41">
        <f>'Pilot Project Budget'!G163</f>
        <v>17892</v>
      </c>
      <c r="D168" s="41">
        <f>IF('Pilot Project Budget'!$D$156="Use Buydown",C168*0.75,C168)</f>
        <v>13419</v>
      </c>
      <c r="E168" s="41">
        <f ca="1">IF('Pilot Project Budget'!$F$156="AY",ROUND(D168*((1+B168)^$B$24),0),D168)</f>
        <v>14761</v>
      </c>
      <c r="F168" s="41">
        <f ca="1">IF('Pilot Project Budget'!$F$156="AY",ROUND(D168*((1+$B168)^($B$24+1)),0),ROUND(E168*(1+B168),0))</f>
        <v>16237</v>
      </c>
      <c r="G168" s="41">
        <f ca="1">IF('Pilot Project Budget'!$F$156="AY",ROUND(D168*((1+$B168)^($B$24+2)),0),ROUND(F168*(1+$B168),0))</f>
        <v>17861</v>
      </c>
      <c r="H168" s="41">
        <f ca="1">IF('Pilot Project Budget'!$F$156="AY",ROUND(D168*((1+$B168)^($B$24+3)),0),ROUND(G168*(1+$B168),0))</f>
        <v>19647</v>
      </c>
      <c r="I168" s="41">
        <f ca="1">IF('Pilot Project Budget'!$F$156="AY",ROUND(D168*((1+$B168)^($B$24+4)),0),ROUND(H168*(1+$B168),0))</f>
        <v>21611</v>
      </c>
      <c r="J168" s="41">
        <f ca="1">IF('Pilot Project Budget'!$F$156="AY",ROUND(D168*((1+$B168)^($B$24+5)),0),ROUND(I168*(1+$B168),0))</f>
        <v>23773</v>
      </c>
      <c r="K168" s="112">
        <f ca="1">IF(C$5=0,0,IF('Pilot Project Budget'!$F$156="AY",(E168*C$27+F168*C$28)/C$29,'W1'!E168))</f>
        <v>15745</v>
      </c>
      <c r="L168" s="112">
        <f ca="1">IF(D$5=0,0,IF('Pilot Project Budget'!$F$156="AY",(F168*D$27+G168*D$28)/D$29,'W1'!F168))</f>
        <v>17319.666666666668</v>
      </c>
      <c r="M168" s="112">
        <f>IF(E$5=0,0,IF('Pilot Project Budget'!$F$156="AY",(G168*E$27+H168*E$28)/E$29,'W1'!G168))</f>
        <v>0</v>
      </c>
      <c r="N168" s="112">
        <f>IF(F$5=0,0,IF('Pilot Project Budget'!$F$156="AY",(H168*F$27+I168*F$28)/F$29,'W1'!H168))</f>
        <v>0</v>
      </c>
      <c r="O168" s="112">
        <f>IF(G$5=0,0,IF('Pilot Project Budget'!$F$156="AY",(I168*G$27+J168*G$28)/G$29,'W1'!I168))</f>
        <v>0</v>
      </c>
    </row>
    <row r="169" spans="1:18" x14ac:dyDescent="0.2">
      <c r="A169" s="4">
        <f>'Pilot Project Budget'!A164</f>
        <v>0</v>
      </c>
      <c r="B169" s="26">
        <f>'Pilot Project Budget'!F164</f>
        <v>0.1</v>
      </c>
      <c r="C169" s="41">
        <f>'Pilot Project Budget'!G164</f>
        <v>17892</v>
      </c>
      <c r="D169" s="41">
        <f>IF('Pilot Project Budget'!$D$156="Use Buydown",C169*0.75,C169)</f>
        <v>13419</v>
      </c>
      <c r="E169" s="41">
        <f ca="1">IF('Pilot Project Budget'!$F$156="AY",ROUND(D169*((1+B169)^$B$24),0),D169)</f>
        <v>14761</v>
      </c>
      <c r="F169" s="41">
        <f ca="1">IF('Pilot Project Budget'!$F$156="AY",ROUND(D169*((1+$B169)^($B$24+1)),0),ROUND(E169*(1+B169),0))</f>
        <v>16237</v>
      </c>
      <c r="G169" s="41">
        <f ca="1">IF('Pilot Project Budget'!$F$156="AY",ROUND(D169*((1+$B169)^($B$24+2)),0),ROUND(F169*(1+$B169),0))</f>
        <v>17861</v>
      </c>
      <c r="H169" s="41">
        <f ca="1">IF('Pilot Project Budget'!$F$156="AY",ROUND(D169*((1+$B169)^($B$24+3)),0),ROUND(G169*(1+$B169),0))</f>
        <v>19647</v>
      </c>
      <c r="I169" s="41">
        <f ca="1">IF('Pilot Project Budget'!$F$156="AY",ROUND(D169*((1+$B169)^($B$24+4)),0),ROUND(H169*(1+$B169),0))</f>
        <v>21611</v>
      </c>
      <c r="J169" s="41">
        <f ca="1">IF('Pilot Project Budget'!$F$156="AY",ROUND(D169*((1+$B169)^($B$24+5)),0),ROUND(I169*(1+$B169),0))</f>
        <v>23773</v>
      </c>
      <c r="K169" s="112">
        <f ca="1">IF(C$5=0,0,IF('Pilot Project Budget'!$F$156="AY",(E169*C$27+F169*C$28)/C$29,'W1'!E169))</f>
        <v>15745</v>
      </c>
      <c r="L169" s="112">
        <f ca="1">IF(D$5=0,0,IF('Pilot Project Budget'!$F$156="AY",(F169*D$27+G169*D$28)/D$29,'W1'!F169))</f>
        <v>17319.666666666668</v>
      </c>
      <c r="M169" s="112">
        <f>IF(E$5=0,0,IF('Pilot Project Budget'!$F$156="AY",(G169*E$27+H169*E$28)/E$29,'W1'!G169))</f>
        <v>0</v>
      </c>
      <c r="N169" s="112">
        <f>IF(F$5=0,0,IF('Pilot Project Budget'!$F$156="AY",(H169*F$27+I169*F$28)/F$29,'W1'!H169))</f>
        <v>0</v>
      </c>
      <c r="O169" s="112">
        <f>IF(G$5=0,0,IF('Pilot Project Budget'!$F$156="AY",(I169*G$27+J169*G$28)/G$29,'W1'!I169))</f>
        <v>0</v>
      </c>
    </row>
    <row r="170" spans="1:18" x14ac:dyDescent="0.2">
      <c r="A170" s="4">
        <f>'Pilot Project Budget'!A165</f>
        <v>0</v>
      </c>
      <c r="B170" s="26">
        <f>'Pilot Project Budget'!F165</f>
        <v>0.1</v>
      </c>
      <c r="C170" s="41">
        <f>'Pilot Project Budget'!G165</f>
        <v>17892</v>
      </c>
      <c r="D170" s="41">
        <f>IF('Pilot Project Budget'!$D$156="Use Buydown",C170*0.75,C170)</f>
        <v>13419</v>
      </c>
      <c r="E170" s="41">
        <f ca="1">IF('Pilot Project Budget'!$F$156="AY",ROUND(D170*((1+B170)^$B$24),0),D170)</f>
        <v>14761</v>
      </c>
      <c r="F170" s="41">
        <f ca="1">IF('Pilot Project Budget'!$F$156="AY",ROUND(D170*((1+$B170)^($B$24+1)),0),ROUND(E170*(1+B170),0))</f>
        <v>16237</v>
      </c>
      <c r="G170" s="41">
        <f ca="1">IF('Pilot Project Budget'!$F$156="AY",ROUND(D170*((1+$B170)^($B$24+2)),0),ROUND(F170*(1+$B170),0))</f>
        <v>17861</v>
      </c>
      <c r="H170" s="41">
        <f ca="1">IF('Pilot Project Budget'!$F$156="AY",ROUND(D170*((1+$B170)^($B$24+3)),0),ROUND(G170*(1+$B170),0))</f>
        <v>19647</v>
      </c>
      <c r="I170" s="41">
        <f ca="1">IF('Pilot Project Budget'!$F$156="AY",ROUND(D170*((1+$B170)^($B$24+4)),0),ROUND(H170*(1+$B170),0))</f>
        <v>21611</v>
      </c>
      <c r="J170" s="41">
        <f ca="1">IF('Pilot Project Budget'!$F$156="AY",ROUND(D170*((1+$B170)^($B$24+5)),0),ROUND(I170*(1+$B170),0))</f>
        <v>23773</v>
      </c>
      <c r="K170" s="112">
        <f ca="1">IF(C$5=0,0,IF('Pilot Project Budget'!$F$156="AY",(E170*C$27+F170*C$28)/C$29,'W1'!E170))</f>
        <v>15745</v>
      </c>
      <c r="L170" s="112">
        <f ca="1">IF(D$5=0,0,IF('Pilot Project Budget'!$F$156="AY",(F170*D$27+G170*D$28)/D$29,'W1'!F170))</f>
        <v>17319.666666666668</v>
      </c>
      <c r="M170" s="112">
        <f>IF(E$5=0,0,IF('Pilot Project Budget'!$F$156="AY",(G170*E$27+H170*E$28)/E$29,'W1'!G170))</f>
        <v>0</v>
      </c>
      <c r="N170" s="112">
        <f>IF(F$5=0,0,IF('Pilot Project Budget'!$F$156="AY",(H170*F$27+I170*F$28)/F$29,'W1'!H170))</f>
        <v>0</v>
      </c>
      <c r="O170" s="112">
        <f>IF(G$5=0,0,IF('Pilot Project Budget'!$F$156="AY",(I170*G$27+J170*G$28)/G$29,'W1'!I170))</f>
        <v>0</v>
      </c>
    </row>
    <row r="171" spans="1:18" x14ac:dyDescent="0.2">
      <c r="A171" s="4">
        <f>'Pilot Project Budget'!A166</f>
        <v>0</v>
      </c>
      <c r="B171" s="26">
        <f>'Pilot Project Budget'!F166</f>
        <v>0.1</v>
      </c>
      <c r="C171" s="41">
        <f>'Pilot Project Budget'!G166</f>
        <v>17892</v>
      </c>
      <c r="D171" s="41">
        <f>IF('Pilot Project Budget'!$D$156="Use Buydown",C171*0.75,C171)</f>
        <v>13419</v>
      </c>
      <c r="E171" s="41">
        <f ca="1">IF('Pilot Project Budget'!$F$156="AY",ROUND(D171*((1+B171)^$B$24),0),D171)</f>
        <v>14761</v>
      </c>
      <c r="F171" s="41">
        <f ca="1">IF('Pilot Project Budget'!$F$156="AY",ROUND(D171*((1+$B171)^($B$24+1)),0),ROUND(E171*(1+B171),0))</f>
        <v>16237</v>
      </c>
      <c r="G171" s="41">
        <f ca="1">IF('Pilot Project Budget'!$F$156="AY",ROUND(D171*((1+$B171)^($B$24+2)),0),ROUND(F171*(1+$B171),0))</f>
        <v>17861</v>
      </c>
      <c r="H171" s="41">
        <f ca="1">IF('Pilot Project Budget'!$F$156="AY",ROUND(D171*((1+$B171)^($B$24+3)),0),ROUND(G171*(1+$B171),0))</f>
        <v>19647</v>
      </c>
      <c r="I171" s="41">
        <f ca="1">IF('Pilot Project Budget'!$F$156="AY",ROUND(D171*((1+$B171)^($B$24+4)),0),ROUND(H171*(1+$B171),0))</f>
        <v>21611</v>
      </c>
      <c r="J171" s="41">
        <f ca="1">IF('Pilot Project Budget'!$F$156="AY",ROUND(D171*((1+$B171)^($B$24+5)),0),ROUND(I171*(1+$B171),0))</f>
        <v>23773</v>
      </c>
      <c r="K171" s="112">
        <f ca="1">IF(C$5=0,0,IF('Pilot Project Budget'!$F$156="AY",(E171*C$27+F171*C$28)/C$29,'W1'!E171))</f>
        <v>15745</v>
      </c>
      <c r="L171" s="112">
        <f ca="1">IF(D$5=0,0,IF('Pilot Project Budget'!$F$156="AY",(F171*D$27+G171*D$28)/D$29,'W1'!F171))</f>
        <v>17319.666666666668</v>
      </c>
      <c r="M171" s="112">
        <f>IF(E$5=0,0,IF('Pilot Project Budget'!$F$156="AY",(G171*E$27+H171*E$28)/E$29,'W1'!G171))</f>
        <v>0</v>
      </c>
      <c r="N171" s="112">
        <f>IF(F$5=0,0,IF('Pilot Project Budget'!$F$156="AY",(H171*F$27+I171*F$28)/F$29,'W1'!H171))</f>
        <v>0</v>
      </c>
      <c r="O171" s="112">
        <f>IF(G$5=0,0,IF('Pilot Project Budget'!$F$156="AY",(I171*G$27+J171*G$28)/G$29,'W1'!I171))</f>
        <v>0</v>
      </c>
    </row>
    <row r="172" spans="1:18" x14ac:dyDescent="0.2">
      <c r="A172" s="4">
        <f>'Pilot Project Budget'!A167</f>
        <v>0</v>
      </c>
      <c r="B172" s="26">
        <f>'Pilot Project Budget'!F167</f>
        <v>0.1</v>
      </c>
      <c r="C172" s="41">
        <f>'Pilot Project Budget'!G167</f>
        <v>17892</v>
      </c>
      <c r="D172" s="41">
        <f>IF('Pilot Project Budget'!$D$156="Use Buydown",C172*0.75,C172)</f>
        <v>13419</v>
      </c>
      <c r="E172" s="41">
        <f ca="1">IF('Pilot Project Budget'!$F$156="AY",ROUND(D172*((1+B172)^$B$24),0),D172)</f>
        <v>14761</v>
      </c>
      <c r="F172" s="41">
        <f ca="1">IF('Pilot Project Budget'!$F$156="AY",ROUND(D172*((1+$B172)^($B$24+1)),0),ROUND(E172*(1+B172),0))</f>
        <v>16237</v>
      </c>
      <c r="G172" s="41">
        <f ca="1">IF('Pilot Project Budget'!$F$156="AY",ROUND(D172*((1+$B172)^($B$24+2)),0),ROUND(F172*(1+$B172),0))</f>
        <v>17861</v>
      </c>
      <c r="H172" s="41">
        <f ca="1">IF('Pilot Project Budget'!$F$156="AY",ROUND(D172*((1+$B172)^($B$24+3)),0),ROUND(G172*(1+$B172),0))</f>
        <v>19647</v>
      </c>
      <c r="I172" s="41">
        <f ca="1">IF('Pilot Project Budget'!$F$156="AY",ROUND(D172*((1+$B172)^($B$24+4)),0),ROUND(H172*(1+$B172),0))</f>
        <v>21611</v>
      </c>
      <c r="J172" s="41">
        <f ca="1">IF('Pilot Project Budget'!$F$156="AY",ROUND(D172*((1+$B172)^($B$24+5)),0),ROUND(I172*(1+$B172),0))</f>
        <v>23773</v>
      </c>
      <c r="K172" s="112">
        <f ca="1">IF(C$5=0,0,IF('Pilot Project Budget'!$F$156="AY",(E172*C$27+F172*C$28)/C$29,'W1'!E172))</f>
        <v>15745</v>
      </c>
      <c r="L172" s="112">
        <f ca="1">IF(D$5=0,0,IF('Pilot Project Budget'!$F$156="AY",(F172*D$27+G172*D$28)/D$29,'W1'!F172))</f>
        <v>17319.666666666668</v>
      </c>
      <c r="M172" s="112">
        <f>IF(E$5=0,0,IF('Pilot Project Budget'!$F$156="AY",(G172*E$27+H172*E$28)/E$29,'W1'!G172))</f>
        <v>0</v>
      </c>
      <c r="N172" s="112">
        <f>IF(F$5=0,0,IF('Pilot Project Budget'!$F$156="AY",(H172*F$27+I172*F$28)/F$29,'W1'!H172))</f>
        <v>0</v>
      </c>
      <c r="O172" s="112">
        <f>IF(G$5=0,0,IF('Pilot Project Budget'!$F$156="AY",(I172*G$27+J172*G$28)/G$29,'W1'!I172))</f>
        <v>0</v>
      </c>
    </row>
    <row r="173" spans="1:18" x14ac:dyDescent="0.2">
      <c r="A173" s="4">
        <f>'Pilot Project Budget'!A168</f>
        <v>0</v>
      </c>
      <c r="B173" s="26">
        <f>'Pilot Project Budget'!F168</f>
        <v>0.1</v>
      </c>
      <c r="C173" s="41">
        <f>'Pilot Project Budget'!G168</f>
        <v>17892</v>
      </c>
      <c r="D173" s="41">
        <f>IF('Pilot Project Budget'!$D$156="Use Buydown",C173*0.75,C173)</f>
        <v>13419</v>
      </c>
      <c r="E173" s="41">
        <f ca="1">IF('Pilot Project Budget'!$F$156="AY",ROUND(D173*((1+B173)^$B$24),0),D173)</f>
        <v>14761</v>
      </c>
      <c r="F173" s="41">
        <f ca="1">IF('Pilot Project Budget'!$F$156="AY",ROUND(D173*((1+$B173)^($B$24+1)),0),ROUND(E173*(1+B173),0))</f>
        <v>16237</v>
      </c>
      <c r="G173" s="41">
        <f ca="1">IF('Pilot Project Budget'!$F$156="AY",ROUND(D173*((1+$B173)^($B$24+2)),0),ROUND(F173*(1+$B173),0))</f>
        <v>17861</v>
      </c>
      <c r="H173" s="41">
        <f ca="1">IF('Pilot Project Budget'!$F$156="AY",ROUND(D173*((1+$B173)^($B$24+3)),0),ROUND(G173*(1+$B173),0))</f>
        <v>19647</v>
      </c>
      <c r="I173" s="41">
        <f ca="1">IF('Pilot Project Budget'!$F$156="AY",ROUND(D173*((1+$B173)^($B$24+4)),0),ROUND(H173*(1+$B173),0))</f>
        <v>21611</v>
      </c>
      <c r="J173" s="41">
        <f ca="1">IF('Pilot Project Budget'!$F$156="AY",ROUND(D173*((1+$B173)^($B$24+5)),0),ROUND(I173*(1+$B173),0))</f>
        <v>23773</v>
      </c>
      <c r="K173" s="112">
        <f ca="1">IF(C$5=0,0,IF('Pilot Project Budget'!$F$156="AY",(E173*C$27+F173*C$28)/C$29,'W1'!E173))</f>
        <v>15745</v>
      </c>
      <c r="L173" s="112">
        <f ca="1">IF(D$5=0,0,IF('Pilot Project Budget'!$F$156="AY",(F173*D$27+G173*D$28)/D$29,'W1'!F173))</f>
        <v>17319.666666666668</v>
      </c>
      <c r="M173" s="112">
        <f>IF(E$5=0,0,IF('Pilot Project Budget'!$F$156="AY",(G173*E$27+H173*E$28)/E$29,'W1'!G173))</f>
        <v>0</v>
      </c>
      <c r="N173" s="112">
        <f>IF(F$5=0,0,IF('Pilot Project Budget'!$F$156="AY",(H173*F$27+I173*F$28)/F$29,'W1'!H173))</f>
        <v>0</v>
      </c>
      <c r="O173" s="112">
        <f>IF(G$5=0,0,IF('Pilot Project Budget'!$F$156="AY",(I173*G$27+J173*G$28)/G$29,'W1'!I173))</f>
        <v>0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>
        <f>'Pilot Project Budget'!B8</f>
        <v>0</v>
      </c>
      <c r="B177" s="131">
        <f>C5</f>
        <v>12</v>
      </c>
      <c r="C177" s="131">
        <f t="shared" ref="C177:F177" si="37">D5</f>
        <v>12</v>
      </c>
      <c r="D177" s="131">
        <f t="shared" si="37"/>
        <v>0</v>
      </c>
      <c r="E177" s="131">
        <f t="shared" si="37"/>
        <v>0</v>
      </c>
      <c r="F177" s="131">
        <f t="shared" si="37"/>
        <v>0</v>
      </c>
      <c r="G177" s="70">
        <f>'Pilot Project Budget'!L8</f>
        <v>12</v>
      </c>
      <c r="H177" s="70" t="e">
        <f>IF(#REF!="No",('Pilot Project Budget'!F8*B177/12*'Pilot Project Budget'!$L8),('Pilot Project Budget'!F8*'W1'!B177))</f>
        <v>#REF!</v>
      </c>
      <c r="I177" s="70" t="e">
        <f>IF(#REF!="No",('Pilot Project Budget'!G8*C177/12*'Pilot Project Budget'!$L8),('Pilot Project Budget'!G8*'W1'!C177))</f>
        <v>#REF!</v>
      </c>
      <c r="J177" s="70" t="e">
        <f>IF(#REF!="No",('Pilot Project Budget'!H8*D177/12*'Pilot Project Budget'!$L8),('Pilot Project Budget'!H8*'W1'!D177))</f>
        <v>#REF!</v>
      </c>
      <c r="K177" s="70" t="e">
        <f>IF(#REF!="No",('Pilot Project Budget'!I8*E177/12*'Pilot Project Budget'!$L8),('Pilot Project Budget'!I8*'W1'!E177))</f>
        <v>#REF!</v>
      </c>
      <c r="L177" s="70" t="e">
        <f>IF(#REF!="No",('Pilot Project Budget'!J8*F177/12*'Pilot Project Budget'!$L8),('Pilot Project Budget'!J8*'W1'!F177))</f>
        <v>#REF!</v>
      </c>
    </row>
    <row r="178" spans="1:12" x14ac:dyDescent="0.2">
      <c r="A178" s="40">
        <f>'Pilot Project Budget'!B9</f>
        <v>0</v>
      </c>
      <c r="B178" s="131">
        <f>B177</f>
        <v>12</v>
      </c>
      <c r="C178" s="131">
        <f t="shared" ref="C178:F178" si="38">C177</f>
        <v>12</v>
      </c>
      <c r="D178" s="131">
        <f t="shared" si="38"/>
        <v>0</v>
      </c>
      <c r="E178" s="131">
        <f t="shared" si="38"/>
        <v>0</v>
      </c>
      <c r="F178" s="131">
        <f t="shared" si="38"/>
        <v>0</v>
      </c>
      <c r="G178" s="70">
        <f>'Pilot Project Budget'!L9</f>
        <v>12</v>
      </c>
      <c r="H178" s="70" t="e">
        <f>IF(#REF!="No",('Pilot Project Budget'!F9*B178/12*'Pilot Project Budget'!$L9),('Pilot Project Budget'!F9*'W1'!B178))</f>
        <v>#REF!</v>
      </c>
      <c r="I178" s="70" t="e">
        <f>IF(#REF!="No",('Pilot Project Budget'!G9*C178/12*'Pilot Project Budget'!$L9),('Pilot Project Budget'!G9*'W1'!C178))</f>
        <v>#REF!</v>
      </c>
      <c r="J178" s="70" t="e">
        <f>IF(#REF!="No",('Pilot Project Budget'!H9*D178/12*'Pilot Project Budget'!$L9),('Pilot Project Budget'!H9*'W1'!D178))</f>
        <v>#REF!</v>
      </c>
      <c r="K178" s="70" t="e">
        <f>IF(#REF!="No",('Pilot Project Budget'!I9*E178/12*'Pilot Project Budget'!$L9),('Pilot Project Budget'!I9*'W1'!E178))</f>
        <v>#REF!</v>
      </c>
      <c r="L178" s="70" t="e">
        <f>IF(#REF!="No",('Pilot Project Budget'!J9*F178/12*'Pilot Project Budget'!$L9),('Pilot Project Budget'!J9*'W1'!F178))</f>
        <v>#REF!</v>
      </c>
    </row>
    <row r="179" spans="1:12" x14ac:dyDescent="0.2">
      <c r="A179" s="40">
        <f>'Pilot Project Budget'!B10</f>
        <v>0</v>
      </c>
      <c r="B179" s="131">
        <f t="shared" ref="B179:B200" si="39">B178</f>
        <v>12</v>
      </c>
      <c r="C179" s="131">
        <f t="shared" ref="C179:C200" si="40">C178</f>
        <v>12</v>
      </c>
      <c r="D179" s="131">
        <f t="shared" ref="D179:D200" si="41">D178</f>
        <v>0</v>
      </c>
      <c r="E179" s="131">
        <f t="shared" ref="E179:E200" si="42">E178</f>
        <v>0</v>
      </c>
      <c r="F179" s="131">
        <f t="shared" ref="F179:F200" si="43">F178</f>
        <v>0</v>
      </c>
      <c r="G179" s="70">
        <f>'Pilot Project Budget'!L10</f>
        <v>12</v>
      </c>
      <c r="H179" s="70" t="e">
        <f>IF(#REF!="No",('Pilot Project Budget'!F10*B179/12*'Pilot Project Budget'!$L10),('Pilot Project Budget'!F10*'W1'!B179))</f>
        <v>#REF!</v>
      </c>
      <c r="I179" s="70" t="e">
        <f>IF(#REF!="No",('Pilot Project Budget'!G10*C179/12*'Pilot Project Budget'!$L10),('Pilot Project Budget'!G10*'W1'!C179))</f>
        <v>#REF!</v>
      </c>
      <c r="J179" s="70" t="e">
        <f>IF(#REF!="No",('Pilot Project Budget'!H10*D179/12*'Pilot Project Budget'!$L10),('Pilot Project Budget'!H10*'W1'!D179))</f>
        <v>#REF!</v>
      </c>
      <c r="K179" s="70" t="e">
        <f>IF(#REF!="No",('Pilot Project Budget'!I10*E179/12*'Pilot Project Budget'!$L10),('Pilot Project Budget'!I10*'W1'!E179))</f>
        <v>#REF!</v>
      </c>
      <c r="L179" s="70" t="e">
        <f>IF(#REF!="No",('Pilot Project Budget'!J10*F179/12*'Pilot Project Budget'!$L10),('Pilot Project Budget'!J10*'W1'!F179))</f>
        <v>#REF!</v>
      </c>
    </row>
    <row r="180" spans="1:12" x14ac:dyDescent="0.2">
      <c r="A180" s="40">
        <f>'Pilot Project Budget'!B11</f>
        <v>0</v>
      </c>
      <c r="B180" s="131">
        <f t="shared" si="39"/>
        <v>12</v>
      </c>
      <c r="C180" s="131">
        <f t="shared" si="40"/>
        <v>12</v>
      </c>
      <c r="D180" s="131">
        <f t="shared" si="41"/>
        <v>0</v>
      </c>
      <c r="E180" s="131">
        <f t="shared" si="42"/>
        <v>0</v>
      </c>
      <c r="F180" s="131">
        <f t="shared" si="43"/>
        <v>0</v>
      </c>
      <c r="G180" s="70">
        <f>'Pilot Project Budget'!L11</f>
        <v>12</v>
      </c>
      <c r="H180" s="70" t="e">
        <f>IF(#REF!="No",('Pilot Project Budget'!F11*B180/12*'Pilot Project Budget'!$L11),('Pilot Project Budget'!F11*'W1'!B180))</f>
        <v>#REF!</v>
      </c>
      <c r="I180" s="70" t="e">
        <f>IF(#REF!="No",('Pilot Project Budget'!G11*C180/12*'Pilot Project Budget'!$L11),('Pilot Project Budget'!G11*'W1'!C180))</f>
        <v>#REF!</v>
      </c>
      <c r="J180" s="70" t="e">
        <f>IF(#REF!="No",('Pilot Project Budget'!H11*D180/12*'Pilot Project Budget'!$L11),('Pilot Project Budget'!H11*'W1'!D180))</f>
        <v>#REF!</v>
      </c>
      <c r="K180" s="70" t="e">
        <f>IF(#REF!="No",('Pilot Project Budget'!I11*E180/12*'Pilot Project Budget'!$L11),('Pilot Project Budget'!I11*'W1'!E180))</f>
        <v>#REF!</v>
      </c>
      <c r="L180" s="70" t="e">
        <f>IF(#REF!="No",('Pilot Project Budget'!J11*F180/12*'Pilot Project Budget'!$L11),('Pilot Project Budget'!J11*'W1'!F180))</f>
        <v>#REF!</v>
      </c>
    </row>
    <row r="181" spans="1:12" x14ac:dyDescent="0.2">
      <c r="A181" s="40">
        <f>'Pilot Project Budget'!B12</f>
        <v>0</v>
      </c>
      <c r="B181" s="131">
        <f t="shared" si="39"/>
        <v>12</v>
      </c>
      <c r="C181" s="131">
        <f t="shared" si="40"/>
        <v>12</v>
      </c>
      <c r="D181" s="131">
        <f t="shared" si="41"/>
        <v>0</v>
      </c>
      <c r="E181" s="131">
        <f t="shared" si="42"/>
        <v>0</v>
      </c>
      <c r="F181" s="131">
        <f t="shared" si="43"/>
        <v>0</v>
      </c>
      <c r="G181" s="70">
        <f>'Pilot Project Budget'!L12</f>
        <v>12</v>
      </c>
      <c r="H181" s="70" t="e">
        <f>IF(#REF!="No",('Pilot Project Budget'!F12*B181/12*'Pilot Project Budget'!$L12),('Pilot Project Budget'!F12*'W1'!B181))</f>
        <v>#REF!</v>
      </c>
      <c r="I181" s="70" t="e">
        <f>IF(#REF!="No",('Pilot Project Budget'!G12*C181/12*'Pilot Project Budget'!$L12),('Pilot Project Budget'!G12*'W1'!C181))</f>
        <v>#REF!</v>
      </c>
      <c r="J181" s="70" t="e">
        <f>IF(#REF!="No",('Pilot Project Budget'!H12*D181/12*'Pilot Project Budget'!$L12),('Pilot Project Budget'!H12*'W1'!D181))</f>
        <v>#REF!</v>
      </c>
      <c r="K181" s="70" t="e">
        <f>IF(#REF!="No",('Pilot Project Budget'!I12*E181/12*'Pilot Project Budget'!$L12),('Pilot Project Budget'!I12*'W1'!E181))</f>
        <v>#REF!</v>
      </c>
      <c r="L181" s="70" t="e">
        <f>IF(#REF!="No",('Pilot Project Budget'!J12*F181/12*'Pilot Project Budget'!$L12),('Pilot Project Budget'!J12*'W1'!F181))</f>
        <v>#REF!</v>
      </c>
    </row>
    <row r="182" spans="1:12" x14ac:dyDescent="0.2">
      <c r="A182" s="40">
        <f>'Pilot Project Budget'!B13</f>
        <v>0</v>
      </c>
      <c r="B182" s="131">
        <f t="shared" si="39"/>
        <v>12</v>
      </c>
      <c r="C182" s="131">
        <f t="shared" si="40"/>
        <v>12</v>
      </c>
      <c r="D182" s="131">
        <f t="shared" si="41"/>
        <v>0</v>
      </c>
      <c r="E182" s="131">
        <f t="shared" si="42"/>
        <v>0</v>
      </c>
      <c r="F182" s="131">
        <f t="shared" si="43"/>
        <v>0</v>
      </c>
      <c r="G182" s="70">
        <f>'Pilot Project Budget'!L13</f>
        <v>12</v>
      </c>
      <c r="H182" s="70" t="e">
        <f>IF(#REF!="No",('Pilot Project Budget'!F13*B182/12*'Pilot Project Budget'!$L13),('Pilot Project Budget'!F13*'W1'!B182))</f>
        <v>#REF!</v>
      </c>
      <c r="I182" s="70" t="e">
        <f>IF(#REF!="No",('Pilot Project Budget'!G13*C182/12*'Pilot Project Budget'!$L13),('Pilot Project Budget'!G13*'W1'!C182))</f>
        <v>#REF!</v>
      </c>
      <c r="J182" s="70" t="e">
        <f>IF(#REF!="No",('Pilot Project Budget'!H13*D182/12*'Pilot Project Budget'!$L13),('Pilot Project Budget'!H13*'W1'!D182))</f>
        <v>#REF!</v>
      </c>
      <c r="K182" s="70" t="e">
        <f>IF(#REF!="No",('Pilot Project Budget'!I13*E182/12*'Pilot Project Budget'!$L13),('Pilot Project Budget'!I13*'W1'!E182))</f>
        <v>#REF!</v>
      </c>
      <c r="L182" s="70" t="e">
        <f>IF(#REF!="No",('Pilot Project Budget'!J13*F182/12*'Pilot Project Budget'!$L13),('Pilot Project Budget'!J13*'W1'!F182))</f>
        <v>#REF!</v>
      </c>
    </row>
    <row r="183" spans="1:12" x14ac:dyDescent="0.2">
      <c r="A183" s="40">
        <f>'Pilot Project Budget'!B14</f>
        <v>0</v>
      </c>
      <c r="B183" s="131">
        <f t="shared" si="39"/>
        <v>12</v>
      </c>
      <c r="C183" s="131">
        <f t="shared" si="40"/>
        <v>12</v>
      </c>
      <c r="D183" s="131">
        <f t="shared" si="41"/>
        <v>0</v>
      </c>
      <c r="E183" s="131">
        <f t="shared" si="42"/>
        <v>0</v>
      </c>
      <c r="F183" s="131">
        <f t="shared" si="43"/>
        <v>0</v>
      </c>
      <c r="G183" s="70">
        <f>'Pilot Project Budget'!L14</f>
        <v>12</v>
      </c>
      <c r="H183" s="70" t="e">
        <f>IF(#REF!="No",('Pilot Project Budget'!F14*B183/12*'Pilot Project Budget'!$L14),('Pilot Project Budget'!F14*'W1'!B183))</f>
        <v>#REF!</v>
      </c>
      <c r="I183" s="70" t="e">
        <f>IF(#REF!="No",('Pilot Project Budget'!G14*C183/12*'Pilot Project Budget'!$L14),('Pilot Project Budget'!G14*'W1'!C183))</f>
        <v>#REF!</v>
      </c>
      <c r="J183" s="70" t="e">
        <f>IF(#REF!="No",('Pilot Project Budget'!H14*D183/12*'Pilot Project Budget'!$L14),('Pilot Project Budget'!H14*'W1'!D183))</f>
        <v>#REF!</v>
      </c>
      <c r="K183" s="70" t="e">
        <f>IF(#REF!="No",('Pilot Project Budget'!I14*E183/12*'Pilot Project Budget'!$L14),('Pilot Project Budget'!I14*'W1'!E183))</f>
        <v>#REF!</v>
      </c>
      <c r="L183" s="70" t="e">
        <f>IF(#REF!="No",('Pilot Project Budget'!J14*F183/12*'Pilot Project Budget'!$L14),('Pilot Project Budget'!J14*'W1'!F183))</f>
        <v>#REF!</v>
      </c>
    </row>
    <row r="184" spans="1:12" x14ac:dyDescent="0.2">
      <c r="A184" s="40">
        <f>'Pilot Project Budget'!B15</f>
        <v>0</v>
      </c>
      <c r="B184" s="131">
        <f t="shared" si="39"/>
        <v>12</v>
      </c>
      <c r="C184" s="131">
        <f t="shared" si="40"/>
        <v>12</v>
      </c>
      <c r="D184" s="131">
        <f t="shared" si="41"/>
        <v>0</v>
      </c>
      <c r="E184" s="131">
        <f t="shared" si="42"/>
        <v>0</v>
      </c>
      <c r="F184" s="131">
        <f t="shared" si="43"/>
        <v>0</v>
      </c>
      <c r="G184" s="70">
        <f>'Pilot Project Budget'!L15</f>
        <v>12</v>
      </c>
      <c r="H184" s="70" t="e">
        <f>IF(#REF!="No",('Pilot Project Budget'!F15*B184/12*'Pilot Project Budget'!$L15),('Pilot Project Budget'!F15*'W1'!B184))</f>
        <v>#REF!</v>
      </c>
      <c r="I184" s="70" t="e">
        <f>IF(#REF!="No",('Pilot Project Budget'!G15*C184/12*'Pilot Project Budget'!$L15),('Pilot Project Budget'!G15*'W1'!C184))</f>
        <v>#REF!</v>
      </c>
      <c r="J184" s="70" t="e">
        <f>IF(#REF!="No",('Pilot Project Budget'!H15*D184/12*'Pilot Project Budget'!$L15),('Pilot Project Budget'!H15*'W1'!D184))</f>
        <v>#REF!</v>
      </c>
      <c r="K184" s="70" t="e">
        <f>IF(#REF!="No",('Pilot Project Budget'!I15*E184/12*'Pilot Project Budget'!$L15),('Pilot Project Budget'!I15*'W1'!E184))</f>
        <v>#REF!</v>
      </c>
      <c r="L184" s="70" t="e">
        <f>IF(#REF!="No",('Pilot Project Budget'!J15*F184/12*'Pilot Project Budget'!$L15),('Pilot Project Budget'!J15*'W1'!F184))</f>
        <v>#REF!</v>
      </c>
    </row>
    <row r="185" spans="1:12" x14ac:dyDescent="0.2">
      <c r="A185" s="40">
        <f>'Pilot Project Budget'!B16</f>
        <v>0</v>
      </c>
      <c r="B185" s="131">
        <f t="shared" si="39"/>
        <v>12</v>
      </c>
      <c r="C185" s="131">
        <f t="shared" si="40"/>
        <v>12</v>
      </c>
      <c r="D185" s="131">
        <f t="shared" si="41"/>
        <v>0</v>
      </c>
      <c r="E185" s="131">
        <f t="shared" si="42"/>
        <v>0</v>
      </c>
      <c r="F185" s="131">
        <f t="shared" si="43"/>
        <v>0</v>
      </c>
      <c r="G185" s="70">
        <f>'Pilot Project Budget'!L16</f>
        <v>12</v>
      </c>
      <c r="H185" s="70" t="e">
        <f>IF(#REF!="No",('Pilot Project Budget'!F16*B185/12*'Pilot Project Budget'!$L16),('Pilot Project Budget'!F16*'W1'!B185))</f>
        <v>#REF!</v>
      </c>
      <c r="I185" s="70" t="e">
        <f>IF(#REF!="No",('Pilot Project Budget'!G16*C185/12*'Pilot Project Budget'!$L16),('Pilot Project Budget'!G16*'W1'!C185))</f>
        <v>#REF!</v>
      </c>
      <c r="J185" s="70" t="e">
        <f>IF(#REF!="No",('Pilot Project Budget'!H16*D185/12*'Pilot Project Budget'!$L16),('Pilot Project Budget'!H16*'W1'!D185))</f>
        <v>#REF!</v>
      </c>
      <c r="K185" s="70" t="e">
        <f>IF(#REF!="No",('Pilot Project Budget'!I16*E185/12*'Pilot Project Budget'!$L16),('Pilot Project Budget'!I16*'W1'!E185))</f>
        <v>#REF!</v>
      </c>
      <c r="L185" s="70" t="e">
        <f>IF(#REF!="No",('Pilot Project Budget'!J16*F185/12*'Pilot Project Budget'!$L16),('Pilot Project Budget'!J16*'W1'!F185))</f>
        <v>#REF!</v>
      </c>
    </row>
    <row r="186" spans="1:12" x14ac:dyDescent="0.2">
      <c r="A186" s="40">
        <f>'Pilot Project Budget'!B17</f>
        <v>0</v>
      </c>
      <c r="B186" s="131">
        <f t="shared" si="39"/>
        <v>12</v>
      </c>
      <c r="C186" s="131">
        <f t="shared" si="40"/>
        <v>12</v>
      </c>
      <c r="D186" s="131">
        <f t="shared" si="41"/>
        <v>0</v>
      </c>
      <c r="E186" s="131">
        <f t="shared" si="42"/>
        <v>0</v>
      </c>
      <c r="F186" s="131">
        <f t="shared" si="43"/>
        <v>0</v>
      </c>
      <c r="G186" s="70">
        <f>'Pilot Project Budget'!L17</f>
        <v>12</v>
      </c>
      <c r="H186" s="70" t="e">
        <f>IF(#REF!="No",('Pilot Project Budget'!F17*B186/12*'Pilot Project Budget'!$L17),('Pilot Project Budget'!F17*'W1'!B186))</f>
        <v>#REF!</v>
      </c>
      <c r="I186" s="70" t="e">
        <f>IF(#REF!="No",('Pilot Project Budget'!G17*C186/12*'Pilot Project Budget'!$L17),('Pilot Project Budget'!G17*'W1'!C186))</f>
        <v>#REF!</v>
      </c>
      <c r="J186" s="70" t="e">
        <f>IF(#REF!="No",('Pilot Project Budget'!H17*D186/12*'Pilot Project Budget'!$L17),('Pilot Project Budget'!H17*'W1'!D186))</f>
        <v>#REF!</v>
      </c>
      <c r="K186" s="70" t="e">
        <f>IF(#REF!="No",('Pilot Project Budget'!I17*E186/12*'Pilot Project Budget'!$L17),('Pilot Project Budget'!I17*'W1'!E186))</f>
        <v>#REF!</v>
      </c>
      <c r="L186" s="70" t="e">
        <f>IF(#REF!="No",('Pilot Project Budget'!J17*F186/12*'Pilot Project Budget'!$L17),('Pilot Project Budget'!J17*'W1'!F186))</f>
        <v>#REF!</v>
      </c>
    </row>
    <row r="187" spans="1:12" x14ac:dyDescent="0.2">
      <c r="A187" s="40">
        <f>'Pilot Project Budget'!B18</f>
        <v>0</v>
      </c>
      <c r="B187" s="131">
        <f t="shared" si="39"/>
        <v>12</v>
      </c>
      <c r="C187" s="131">
        <f t="shared" si="40"/>
        <v>12</v>
      </c>
      <c r="D187" s="131">
        <f t="shared" si="41"/>
        <v>0</v>
      </c>
      <c r="E187" s="131">
        <f t="shared" si="42"/>
        <v>0</v>
      </c>
      <c r="F187" s="131">
        <f t="shared" si="43"/>
        <v>0</v>
      </c>
      <c r="G187" s="70">
        <f>'Pilot Project Budget'!L18</f>
        <v>12</v>
      </c>
      <c r="H187" s="70" t="e">
        <f>IF(#REF!="No",('Pilot Project Budget'!F18*B187/12*'Pilot Project Budget'!$L18),('Pilot Project Budget'!F18*'W1'!B187))</f>
        <v>#REF!</v>
      </c>
      <c r="I187" s="70" t="e">
        <f>IF(#REF!="No",('Pilot Project Budget'!G18*C187/12*'Pilot Project Budget'!$L18),('Pilot Project Budget'!G18*'W1'!C187))</f>
        <v>#REF!</v>
      </c>
      <c r="J187" s="70" t="e">
        <f>IF(#REF!="No",('Pilot Project Budget'!H18*D187/12*'Pilot Project Budget'!$L18),('Pilot Project Budget'!H18*'W1'!D187))</f>
        <v>#REF!</v>
      </c>
      <c r="K187" s="70" t="e">
        <f>IF(#REF!="No",('Pilot Project Budget'!I18*E187/12*'Pilot Project Budget'!$L18),('Pilot Project Budget'!I18*'W1'!E187))</f>
        <v>#REF!</v>
      </c>
      <c r="L187" s="70" t="e">
        <f>IF(#REF!="No",('Pilot Project Budget'!J18*F187/12*'Pilot Project Budget'!$L18),('Pilot Project Budget'!J18*'W1'!F187))</f>
        <v>#REF!</v>
      </c>
    </row>
    <row r="188" spans="1:12" x14ac:dyDescent="0.2">
      <c r="A188" s="40">
        <f>'Pilot Project Budget'!B19</f>
        <v>0</v>
      </c>
      <c r="B188" s="131">
        <f t="shared" si="39"/>
        <v>12</v>
      </c>
      <c r="C188" s="131">
        <f t="shared" si="40"/>
        <v>12</v>
      </c>
      <c r="D188" s="131">
        <f t="shared" si="41"/>
        <v>0</v>
      </c>
      <c r="E188" s="131">
        <f t="shared" si="42"/>
        <v>0</v>
      </c>
      <c r="F188" s="131">
        <f t="shared" si="43"/>
        <v>0</v>
      </c>
      <c r="G188" s="70">
        <f>'Pilot Project Budget'!L19</f>
        <v>12</v>
      </c>
      <c r="H188" s="70" t="e">
        <f>IF(#REF!="No",('Pilot Project Budget'!F19*B188/12*'Pilot Project Budget'!$L19),('Pilot Project Budget'!F19*'W1'!B188))</f>
        <v>#REF!</v>
      </c>
      <c r="I188" s="70" t="e">
        <f>IF(#REF!="No",('Pilot Project Budget'!G19*C188/12*'Pilot Project Budget'!$L19),('Pilot Project Budget'!G19*'W1'!C188))</f>
        <v>#REF!</v>
      </c>
      <c r="J188" s="70" t="e">
        <f>IF(#REF!="No",('Pilot Project Budget'!H19*D188/12*'Pilot Project Budget'!$L19),('Pilot Project Budget'!H19*'W1'!D188))</f>
        <v>#REF!</v>
      </c>
      <c r="K188" s="70" t="e">
        <f>IF(#REF!="No",('Pilot Project Budget'!I19*E188/12*'Pilot Project Budget'!$L19),('Pilot Project Budget'!I19*'W1'!E188))</f>
        <v>#REF!</v>
      </c>
      <c r="L188" s="70" t="e">
        <f>IF(#REF!="No",('Pilot Project Budget'!J19*F188/12*'Pilot Project Budget'!$L19),('Pilot Project Budget'!J19*'W1'!F188))</f>
        <v>#REF!</v>
      </c>
    </row>
    <row r="189" spans="1:12" x14ac:dyDescent="0.2">
      <c r="A189" s="40">
        <f>'Pilot Project Budget'!B20</f>
        <v>0</v>
      </c>
      <c r="B189" s="131">
        <f t="shared" si="39"/>
        <v>12</v>
      </c>
      <c r="C189" s="131">
        <f t="shared" si="40"/>
        <v>12</v>
      </c>
      <c r="D189" s="131">
        <f t="shared" si="41"/>
        <v>0</v>
      </c>
      <c r="E189" s="131">
        <f t="shared" si="42"/>
        <v>0</v>
      </c>
      <c r="F189" s="131">
        <f t="shared" si="43"/>
        <v>0</v>
      </c>
      <c r="G189" s="70">
        <f>'Pilot Project Budget'!L20</f>
        <v>12</v>
      </c>
      <c r="H189" s="70" t="e">
        <f>IF(#REF!="No",('Pilot Project Budget'!F20*B189/12*'Pilot Project Budget'!$L20),('Pilot Project Budget'!F20*'W1'!B189))</f>
        <v>#REF!</v>
      </c>
      <c r="I189" s="70" t="e">
        <f>IF(#REF!="No",('Pilot Project Budget'!G20*C189/12*'Pilot Project Budget'!$L20),('Pilot Project Budget'!G20*'W1'!C189))</f>
        <v>#REF!</v>
      </c>
      <c r="J189" s="70" t="e">
        <f>IF(#REF!="No",('Pilot Project Budget'!H20*D189/12*'Pilot Project Budget'!$L20),('Pilot Project Budget'!H20*'W1'!D189))</f>
        <v>#REF!</v>
      </c>
      <c r="K189" s="70" t="e">
        <f>IF(#REF!="No",('Pilot Project Budget'!I20*E189/12*'Pilot Project Budget'!$L20),('Pilot Project Budget'!I20*'W1'!E189))</f>
        <v>#REF!</v>
      </c>
      <c r="L189" s="70" t="e">
        <f>IF(#REF!="No",('Pilot Project Budget'!J20*F189/12*'Pilot Project Budget'!$L20),('Pilot Project Budget'!J20*'W1'!F189))</f>
        <v>#REF!</v>
      </c>
    </row>
    <row r="190" spans="1:12" x14ac:dyDescent="0.2">
      <c r="A190" s="40">
        <f>'Pilot Project Budget'!B21</f>
        <v>0</v>
      </c>
      <c r="B190" s="131">
        <f t="shared" si="39"/>
        <v>12</v>
      </c>
      <c r="C190" s="131">
        <f t="shared" si="40"/>
        <v>12</v>
      </c>
      <c r="D190" s="131">
        <f t="shared" si="41"/>
        <v>0</v>
      </c>
      <c r="E190" s="131">
        <f t="shared" si="42"/>
        <v>0</v>
      </c>
      <c r="F190" s="131">
        <f t="shared" si="43"/>
        <v>0</v>
      </c>
      <c r="G190" s="70">
        <f>'Pilot Project Budget'!L21</f>
        <v>12</v>
      </c>
      <c r="H190" s="70" t="e">
        <f>IF(#REF!="No",('Pilot Project Budget'!F21*B190/12*'Pilot Project Budget'!$L21),('Pilot Project Budget'!F21*'W1'!B190))</f>
        <v>#REF!</v>
      </c>
      <c r="I190" s="70" t="e">
        <f>IF(#REF!="No",('Pilot Project Budget'!G21*C190/12*'Pilot Project Budget'!$L21),('Pilot Project Budget'!G21*'W1'!C190))</f>
        <v>#REF!</v>
      </c>
      <c r="J190" s="70" t="e">
        <f>IF(#REF!="No",('Pilot Project Budget'!H21*D190/12*'Pilot Project Budget'!$L21),('Pilot Project Budget'!H21*'W1'!D190))</f>
        <v>#REF!</v>
      </c>
      <c r="K190" s="70" t="e">
        <f>IF(#REF!="No",('Pilot Project Budget'!I21*E190/12*'Pilot Project Budget'!$L21),('Pilot Project Budget'!I21*'W1'!E190))</f>
        <v>#REF!</v>
      </c>
      <c r="L190" s="70" t="e">
        <f>IF(#REF!="No",('Pilot Project Budget'!J21*F190/12*'Pilot Project Budget'!$L21),('Pilot Project Budget'!J21*'W1'!F190))</f>
        <v>#REF!</v>
      </c>
    </row>
    <row r="191" spans="1:12" x14ac:dyDescent="0.2">
      <c r="A191" s="40">
        <f>'Pilot Project Budget'!B22</f>
        <v>0</v>
      </c>
      <c r="B191" s="131">
        <f t="shared" si="39"/>
        <v>12</v>
      </c>
      <c r="C191" s="131">
        <f t="shared" si="40"/>
        <v>12</v>
      </c>
      <c r="D191" s="131">
        <f t="shared" si="41"/>
        <v>0</v>
      </c>
      <c r="E191" s="131">
        <f t="shared" si="42"/>
        <v>0</v>
      </c>
      <c r="F191" s="131">
        <f t="shared" si="43"/>
        <v>0</v>
      </c>
      <c r="G191" s="70">
        <f>'Pilot Project Budget'!L22</f>
        <v>12</v>
      </c>
      <c r="H191" s="70" t="e">
        <f>IF(#REF!="No",('Pilot Project Budget'!F22*B191/12*'Pilot Project Budget'!$L22),('Pilot Project Budget'!F22*'W1'!B191))</f>
        <v>#REF!</v>
      </c>
      <c r="I191" s="70" t="e">
        <f>IF(#REF!="No",('Pilot Project Budget'!G22*C191/12*'Pilot Project Budget'!$L22),('Pilot Project Budget'!G22*'W1'!C191))</f>
        <v>#REF!</v>
      </c>
      <c r="J191" s="70" t="e">
        <f>IF(#REF!="No",('Pilot Project Budget'!H22*D191/12*'Pilot Project Budget'!$L22),('Pilot Project Budget'!H22*'W1'!D191))</f>
        <v>#REF!</v>
      </c>
      <c r="K191" s="70" t="e">
        <f>IF(#REF!="No",('Pilot Project Budget'!I22*E191/12*'Pilot Project Budget'!$L22),('Pilot Project Budget'!I22*'W1'!E191))</f>
        <v>#REF!</v>
      </c>
      <c r="L191" s="70" t="e">
        <f>IF(#REF!="No",('Pilot Project Budget'!J22*F191/12*'Pilot Project Budget'!$L22),('Pilot Project Budget'!J22*'W1'!F191))</f>
        <v>#REF!</v>
      </c>
    </row>
    <row r="192" spans="1:12" x14ac:dyDescent="0.2">
      <c r="A192" s="40">
        <f>'Pilot Project Budget'!B23</f>
        <v>0</v>
      </c>
      <c r="B192" s="131">
        <f t="shared" si="39"/>
        <v>12</v>
      </c>
      <c r="C192" s="131">
        <f t="shared" si="40"/>
        <v>12</v>
      </c>
      <c r="D192" s="131">
        <f t="shared" si="41"/>
        <v>0</v>
      </c>
      <c r="E192" s="131">
        <f t="shared" si="42"/>
        <v>0</v>
      </c>
      <c r="F192" s="131">
        <f t="shared" si="43"/>
        <v>0</v>
      </c>
      <c r="G192" s="70">
        <f>'Pilot Project Budget'!L23</f>
        <v>12</v>
      </c>
      <c r="H192" s="70" t="e">
        <f>IF(#REF!="No",('Pilot Project Budget'!F23*B192/12*'Pilot Project Budget'!$L23),('Pilot Project Budget'!F23*'W1'!B192))</f>
        <v>#REF!</v>
      </c>
      <c r="I192" s="70" t="e">
        <f>IF(#REF!="No",('Pilot Project Budget'!G23*C192/12*'Pilot Project Budget'!$L23),('Pilot Project Budget'!G23*'W1'!C192))</f>
        <v>#REF!</v>
      </c>
      <c r="J192" s="70" t="e">
        <f>IF(#REF!="No",('Pilot Project Budget'!H23*D192/12*'Pilot Project Budget'!$L23),('Pilot Project Budget'!H23*'W1'!D192))</f>
        <v>#REF!</v>
      </c>
      <c r="K192" s="70" t="e">
        <f>IF(#REF!="No",('Pilot Project Budget'!I23*E192/12*'Pilot Project Budget'!$L23),('Pilot Project Budget'!I23*'W1'!E192))</f>
        <v>#REF!</v>
      </c>
      <c r="L192" s="70" t="e">
        <f>IF(#REF!="No",('Pilot Project Budget'!J23*F192/12*'Pilot Project Budget'!$L23),('Pilot Project Budget'!J23*'W1'!F192))</f>
        <v>#REF!</v>
      </c>
    </row>
    <row r="193" spans="1:12" x14ac:dyDescent="0.2">
      <c r="A193" s="40">
        <f>'Pilot Project Budget'!B24</f>
        <v>0</v>
      </c>
      <c r="B193" s="131">
        <f t="shared" si="39"/>
        <v>12</v>
      </c>
      <c r="C193" s="131">
        <f t="shared" si="40"/>
        <v>12</v>
      </c>
      <c r="D193" s="131">
        <f t="shared" si="41"/>
        <v>0</v>
      </c>
      <c r="E193" s="131">
        <f t="shared" si="42"/>
        <v>0</v>
      </c>
      <c r="F193" s="131">
        <f t="shared" si="43"/>
        <v>0</v>
      </c>
      <c r="G193" s="70">
        <f>'Pilot Project Budget'!L24</f>
        <v>12</v>
      </c>
      <c r="H193" s="70" t="e">
        <f>IF(#REF!="No",('Pilot Project Budget'!F24*B193/12*'Pilot Project Budget'!$L24),('Pilot Project Budget'!F24*'W1'!B193))</f>
        <v>#REF!</v>
      </c>
      <c r="I193" s="70" t="e">
        <f>IF(#REF!="No",('Pilot Project Budget'!G24*C193/12*'Pilot Project Budget'!$L24),('Pilot Project Budget'!G24*'W1'!C193))</f>
        <v>#REF!</v>
      </c>
      <c r="J193" s="70" t="e">
        <f>IF(#REF!="No",('Pilot Project Budget'!H24*D193/12*'Pilot Project Budget'!$L24),('Pilot Project Budget'!H24*'W1'!D193))</f>
        <v>#REF!</v>
      </c>
      <c r="K193" s="70" t="e">
        <f>IF(#REF!="No",('Pilot Project Budget'!I24*E193/12*'Pilot Project Budget'!$L24),('Pilot Project Budget'!I24*'W1'!E193))</f>
        <v>#REF!</v>
      </c>
      <c r="L193" s="70" t="e">
        <f>IF(#REF!="No",('Pilot Project Budget'!J24*F193/12*'Pilot Project Budget'!$L24),('Pilot Project Budget'!J24*'W1'!F193))</f>
        <v>#REF!</v>
      </c>
    </row>
    <row r="194" spans="1:12" x14ac:dyDescent="0.2">
      <c r="A194" s="40">
        <f>'Pilot Project Budget'!B25</f>
        <v>0</v>
      </c>
      <c r="B194" s="131">
        <f t="shared" si="39"/>
        <v>12</v>
      </c>
      <c r="C194" s="131">
        <f t="shared" si="40"/>
        <v>12</v>
      </c>
      <c r="D194" s="131">
        <f t="shared" si="41"/>
        <v>0</v>
      </c>
      <c r="E194" s="131">
        <f t="shared" si="42"/>
        <v>0</v>
      </c>
      <c r="F194" s="131">
        <f t="shared" si="43"/>
        <v>0</v>
      </c>
      <c r="G194" s="70">
        <f>'Pilot Project Budget'!L25</f>
        <v>12</v>
      </c>
      <c r="H194" s="70" t="e">
        <f>IF(#REF!="No",('Pilot Project Budget'!F25*B194/12*'Pilot Project Budget'!$L25),('Pilot Project Budget'!F25*'W1'!B194))</f>
        <v>#REF!</v>
      </c>
      <c r="I194" s="70" t="e">
        <f>IF(#REF!="No",('Pilot Project Budget'!G25*C194/12*'Pilot Project Budget'!$L25),('Pilot Project Budget'!G25*'W1'!C194))</f>
        <v>#REF!</v>
      </c>
      <c r="J194" s="70" t="e">
        <f>IF(#REF!="No",('Pilot Project Budget'!H25*D194/12*'Pilot Project Budget'!$L25),('Pilot Project Budget'!H25*'W1'!D194))</f>
        <v>#REF!</v>
      </c>
      <c r="K194" s="70" t="e">
        <f>IF(#REF!="No",('Pilot Project Budget'!I25*E194/12*'Pilot Project Budget'!$L25),('Pilot Project Budget'!I25*'W1'!E194))</f>
        <v>#REF!</v>
      </c>
      <c r="L194" s="70" t="e">
        <f>IF(#REF!="No",('Pilot Project Budget'!J25*F194/12*'Pilot Project Budget'!$L25),('Pilot Project Budget'!J25*'W1'!F194))</f>
        <v>#REF!</v>
      </c>
    </row>
    <row r="195" spans="1:12" x14ac:dyDescent="0.2">
      <c r="A195" s="40">
        <f>'Pilot Project Budget'!B26</f>
        <v>0</v>
      </c>
      <c r="B195" s="131">
        <f t="shared" si="39"/>
        <v>12</v>
      </c>
      <c r="C195" s="131">
        <f t="shared" si="40"/>
        <v>12</v>
      </c>
      <c r="D195" s="131">
        <f t="shared" si="41"/>
        <v>0</v>
      </c>
      <c r="E195" s="131">
        <f t="shared" si="42"/>
        <v>0</v>
      </c>
      <c r="F195" s="131">
        <f t="shared" si="43"/>
        <v>0</v>
      </c>
      <c r="G195" s="70">
        <f>'Pilot Project Budget'!L26</f>
        <v>12</v>
      </c>
      <c r="H195" s="70" t="e">
        <f>IF(#REF!="No",('Pilot Project Budget'!F26*B195/12*'Pilot Project Budget'!$L26),('Pilot Project Budget'!F26*'W1'!B195))</f>
        <v>#REF!</v>
      </c>
      <c r="I195" s="70" t="e">
        <f>IF(#REF!="No",('Pilot Project Budget'!G26*C195/12*'Pilot Project Budget'!$L26),('Pilot Project Budget'!G26*'W1'!C195))</f>
        <v>#REF!</v>
      </c>
      <c r="J195" s="70" t="e">
        <f>IF(#REF!="No",('Pilot Project Budget'!H26*D195/12*'Pilot Project Budget'!$L26),('Pilot Project Budget'!H26*'W1'!D195))</f>
        <v>#REF!</v>
      </c>
      <c r="K195" s="70" t="e">
        <f>IF(#REF!="No",('Pilot Project Budget'!I26*E195/12*'Pilot Project Budget'!$L26),('Pilot Project Budget'!I26*'W1'!E195))</f>
        <v>#REF!</v>
      </c>
      <c r="L195" s="70" t="e">
        <f>IF(#REF!="No",('Pilot Project Budget'!J26*F195/12*'Pilot Project Budget'!$L26),('Pilot Project Budget'!J26*'W1'!F195))</f>
        <v>#REF!</v>
      </c>
    </row>
    <row r="196" spans="1:12" x14ac:dyDescent="0.2">
      <c r="A196" s="40">
        <f>'Pilot Project Budget'!B27</f>
        <v>0</v>
      </c>
      <c r="B196" s="131">
        <f t="shared" si="39"/>
        <v>12</v>
      </c>
      <c r="C196" s="131">
        <f t="shared" si="40"/>
        <v>12</v>
      </c>
      <c r="D196" s="131">
        <f t="shared" si="41"/>
        <v>0</v>
      </c>
      <c r="E196" s="131">
        <f t="shared" si="42"/>
        <v>0</v>
      </c>
      <c r="F196" s="131">
        <f t="shared" si="43"/>
        <v>0</v>
      </c>
      <c r="G196" s="70">
        <f>'Pilot Project Budget'!L27</f>
        <v>12</v>
      </c>
      <c r="H196" s="70" t="e">
        <f>IF(#REF!="No",('Pilot Project Budget'!F27*B196/12*'Pilot Project Budget'!$L27),('Pilot Project Budget'!F27*'W1'!B196))</f>
        <v>#REF!</v>
      </c>
      <c r="I196" s="70" t="e">
        <f>IF(#REF!="No",('Pilot Project Budget'!G27*C196/12*'Pilot Project Budget'!$L27),('Pilot Project Budget'!G27*'W1'!C196))</f>
        <v>#REF!</v>
      </c>
      <c r="J196" s="70" t="e">
        <f>IF(#REF!="No",('Pilot Project Budget'!H27*D196/12*'Pilot Project Budget'!$L27),('Pilot Project Budget'!H27*'W1'!D196))</f>
        <v>#REF!</v>
      </c>
      <c r="K196" s="70" t="e">
        <f>IF(#REF!="No",('Pilot Project Budget'!I27*E196/12*'Pilot Project Budget'!$L27),('Pilot Project Budget'!I27*'W1'!E196))</f>
        <v>#REF!</v>
      </c>
      <c r="L196" s="70" t="e">
        <f>IF(#REF!="No",('Pilot Project Budget'!J27*F196/12*'Pilot Project Budget'!$L27),('Pilot Project Budget'!J27*'W1'!F196))</f>
        <v>#REF!</v>
      </c>
    </row>
    <row r="197" spans="1:12" x14ac:dyDescent="0.2">
      <c r="A197" s="40">
        <f>'Pilot Project Budget'!B28</f>
        <v>0</v>
      </c>
      <c r="B197" s="131">
        <f t="shared" si="39"/>
        <v>12</v>
      </c>
      <c r="C197" s="131">
        <f t="shared" si="40"/>
        <v>12</v>
      </c>
      <c r="D197" s="131">
        <f t="shared" si="41"/>
        <v>0</v>
      </c>
      <c r="E197" s="131">
        <f t="shared" si="42"/>
        <v>0</v>
      </c>
      <c r="F197" s="131">
        <f t="shared" si="43"/>
        <v>0</v>
      </c>
      <c r="G197" s="70">
        <f>'Pilot Project Budget'!L28</f>
        <v>12</v>
      </c>
      <c r="H197" s="70" t="e">
        <f>IF(#REF!="No",('Pilot Project Budget'!F28*B197/12*'Pilot Project Budget'!$L28),('Pilot Project Budget'!F28*'W1'!B197))</f>
        <v>#REF!</v>
      </c>
      <c r="I197" s="70" t="e">
        <f>IF(#REF!="No",('Pilot Project Budget'!G28*C197/12*'Pilot Project Budget'!$L28),('Pilot Project Budget'!G28*'W1'!C197))</f>
        <v>#REF!</v>
      </c>
      <c r="J197" s="70" t="e">
        <f>IF(#REF!="No",('Pilot Project Budget'!H28*D197/12*'Pilot Project Budget'!$L28),('Pilot Project Budget'!H28*'W1'!D197))</f>
        <v>#REF!</v>
      </c>
      <c r="K197" s="70" t="e">
        <f>IF(#REF!="No",('Pilot Project Budget'!I28*E197/12*'Pilot Project Budget'!$L28),('Pilot Project Budget'!I28*'W1'!E197))</f>
        <v>#REF!</v>
      </c>
      <c r="L197" s="70" t="e">
        <f>IF(#REF!="No",('Pilot Project Budget'!J28*F197/12*'Pilot Project Budget'!$L28),('Pilot Project Budget'!J28*'W1'!F197))</f>
        <v>#REF!</v>
      </c>
    </row>
    <row r="198" spans="1:12" x14ac:dyDescent="0.2">
      <c r="A198" s="40">
        <f>'Pilot Project Budget'!B29</f>
        <v>0</v>
      </c>
      <c r="B198" s="131">
        <f t="shared" si="39"/>
        <v>12</v>
      </c>
      <c r="C198" s="131">
        <f t="shared" si="40"/>
        <v>12</v>
      </c>
      <c r="D198" s="131">
        <f t="shared" si="41"/>
        <v>0</v>
      </c>
      <c r="E198" s="131">
        <f t="shared" si="42"/>
        <v>0</v>
      </c>
      <c r="F198" s="131">
        <f t="shared" si="43"/>
        <v>0</v>
      </c>
      <c r="G198" s="70">
        <f>'Pilot Project Budget'!L29</f>
        <v>12</v>
      </c>
      <c r="H198" s="70" t="e">
        <f>IF(#REF!="No",('Pilot Project Budget'!F29*B198/12*'Pilot Project Budget'!$L29),('Pilot Project Budget'!F29*'W1'!B198))</f>
        <v>#REF!</v>
      </c>
      <c r="I198" s="70" t="e">
        <f>IF(#REF!="No",('Pilot Project Budget'!G29*C198/12*'Pilot Project Budget'!$L29),('Pilot Project Budget'!G29*'W1'!C198))</f>
        <v>#REF!</v>
      </c>
      <c r="J198" s="70" t="e">
        <f>IF(#REF!="No",('Pilot Project Budget'!H29*D198/12*'Pilot Project Budget'!$L29),('Pilot Project Budget'!H29*'W1'!D198))</f>
        <v>#REF!</v>
      </c>
      <c r="K198" s="70" t="e">
        <f>IF(#REF!="No",('Pilot Project Budget'!I29*E198/12*'Pilot Project Budget'!$L29),('Pilot Project Budget'!I29*'W1'!E198))</f>
        <v>#REF!</v>
      </c>
      <c r="L198" s="70" t="e">
        <f>IF(#REF!="No",('Pilot Project Budget'!J29*F198/12*'Pilot Project Budget'!$L29),('Pilot Project Budget'!J29*'W1'!F198))</f>
        <v>#REF!</v>
      </c>
    </row>
    <row r="199" spans="1:12" x14ac:dyDescent="0.2">
      <c r="A199" s="40">
        <f>'Pilot Project Budget'!B30</f>
        <v>0</v>
      </c>
      <c r="B199" s="131">
        <f t="shared" si="39"/>
        <v>12</v>
      </c>
      <c r="C199" s="131">
        <f t="shared" si="40"/>
        <v>12</v>
      </c>
      <c r="D199" s="131">
        <f t="shared" si="41"/>
        <v>0</v>
      </c>
      <c r="E199" s="131">
        <f t="shared" si="42"/>
        <v>0</v>
      </c>
      <c r="F199" s="131">
        <f t="shared" si="43"/>
        <v>0</v>
      </c>
      <c r="G199" s="70">
        <f>'Pilot Project Budget'!L30</f>
        <v>12</v>
      </c>
      <c r="H199" s="70" t="e">
        <f>IF(#REF!="No",('Pilot Project Budget'!F30*B199/12*'Pilot Project Budget'!$L30),('Pilot Project Budget'!F30*'W1'!B199))</f>
        <v>#REF!</v>
      </c>
      <c r="I199" s="70" t="e">
        <f>IF(#REF!="No",('Pilot Project Budget'!G30*C199/12*'Pilot Project Budget'!$L30),('Pilot Project Budget'!G30*'W1'!C199))</f>
        <v>#REF!</v>
      </c>
      <c r="J199" s="70" t="e">
        <f>IF(#REF!="No",('Pilot Project Budget'!H30*D199/12*'Pilot Project Budget'!$L30),('Pilot Project Budget'!H30*'W1'!D199))</f>
        <v>#REF!</v>
      </c>
      <c r="K199" s="70" t="e">
        <f>IF(#REF!="No",('Pilot Project Budget'!I30*E199/12*'Pilot Project Budget'!$L30),('Pilot Project Budget'!I30*'W1'!E199))</f>
        <v>#REF!</v>
      </c>
      <c r="L199" s="70" t="e">
        <f>IF(#REF!="No",('Pilot Project Budget'!J30*F199/12*'Pilot Project Budget'!$L30),('Pilot Project Budget'!J30*'W1'!F199))</f>
        <v>#REF!</v>
      </c>
    </row>
    <row r="200" spans="1:12" x14ac:dyDescent="0.2">
      <c r="A200" s="40">
        <f>'Pilot Project Budget'!B31</f>
        <v>0</v>
      </c>
      <c r="B200" s="131">
        <f t="shared" si="39"/>
        <v>12</v>
      </c>
      <c r="C200" s="131">
        <f t="shared" si="40"/>
        <v>12</v>
      </c>
      <c r="D200" s="131">
        <f t="shared" si="41"/>
        <v>0</v>
      </c>
      <c r="E200" s="131">
        <f t="shared" si="42"/>
        <v>0</v>
      </c>
      <c r="F200" s="131">
        <f t="shared" si="43"/>
        <v>0</v>
      </c>
      <c r="G200" s="70">
        <f>'Pilot Project Budget'!L31</f>
        <v>12</v>
      </c>
      <c r="H200" s="70" t="e">
        <f>IF(#REF!="No",('Pilot Project Budget'!F31*B200/12*'Pilot Project Budget'!$L31),('Pilot Project Budget'!F31*'W1'!B200))</f>
        <v>#REF!</v>
      </c>
      <c r="I200" s="70" t="e">
        <f>IF(#REF!="No",('Pilot Project Budget'!G31*C200/12*'Pilot Project Budget'!$L31),('Pilot Project Budget'!G31*'W1'!C200))</f>
        <v>#REF!</v>
      </c>
      <c r="J200" s="70" t="e">
        <f>IF(#REF!="No",('Pilot Project Budget'!H31*D200/12*'Pilot Project Budget'!$L31),('Pilot Project Budget'!H31*'W1'!D200))</f>
        <v>#REF!</v>
      </c>
      <c r="K200" s="70" t="e">
        <f>IF(#REF!="No",('Pilot Project Budget'!I31*E200/12*'Pilot Project Budget'!$L31),('Pilot Project Budget'!I31*'W1'!E200))</f>
        <v>#REF!</v>
      </c>
      <c r="L200" s="70" t="e">
        <f>IF(#REF!="No",('Pilot Project Budget'!J31*F200/12*'Pilot Project Budget'!$L31),('Pilot Project Budget'!J31*'W1'!F200))</f>
        <v>#REF!</v>
      </c>
    </row>
    <row r="203" spans="1:12" x14ac:dyDescent="0.2">
      <c r="A203" s="1" t="s">
        <v>144</v>
      </c>
      <c r="E203" s="6" t="s">
        <v>9</v>
      </c>
      <c r="F203" s="6" t="s">
        <v>10</v>
      </c>
      <c r="G203" s="6" t="s">
        <v>11</v>
      </c>
      <c r="H203" s="6" t="s">
        <v>24</v>
      </c>
      <c r="I203" s="6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>
        <f>C13</f>
        <v>0.5</v>
      </c>
      <c r="F204" s="112">
        <f t="shared" ref="F204:H204" si="44">D13</f>
        <v>0.5</v>
      </c>
      <c r="G204" s="112">
        <f t="shared" si="44"/>
        <v>0</v>
      </c>
      <c r="H204" s="112">
        <f t="shared" si="44"/>
        <v>0</v>
      </c>
      <c r="I204" s="112">
        <f>G13</f>
        <v>0</v>
      </c>
    </row>
    <row r="205" spans="1:12" x14ac:dyDescent="0.2">
      <c r="A205" s="318"/>
      <c r="B205" s="315" t="s">
        <v>146</v>
      </c>
      <c r="C205" s="315"/>
      <c r="D205" s="316"/>
      <c r="E205" s="112">
        <f>C14</f>
        <v>2.5</v>
      </c>
      <c r="F205" s="112">
        <f t="shared" ref="F205:H205" si="45">D14</f>
        <v>2.5</v>
      </c>
      <c r="G205" s="112">
        <f t="shared" si="45"/>
        <v>0</v>
      </c>
      <c r="H205" s="112">
        <f t="shared" si="45"/>
        <v>0</v>
      </c>
      <c r="I205" s="112">
        <f>G14</f>
        <v>0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>
        <f>IF(AND(MONTH(C2)=9,DAY(C2)&lt;=5),0.5,IF(AND(MONTH(C2)=7,DAY(C2)&lt;=5),2.5,IF(AND(MONTH(C2)=7,DAY(C2)&gt;5),2,IF(AND(MONTH(C2)=8,DAY(C2)&lt;=5),1.5,IF(AND(MONTH(C2)=8,DAY(C2)&gt;5),1,0)))))</f>
        <v>0</v>
      </c>
      <c r="F206" s="4">
        <f t="shared" ref="F206:H206" si="46">IF(AND(MONTH(D2)=9,DAY(D2)&lt;=5),0.5,IF(AND(MONTH(D2)=7,DAY(D2)&lt;=5),2.5,IF(AND(MONTH(D2)=7,DAY(D2)&gt;5),2,IF(AND(MONTH(D2)=8,DAY(D2)&lt;=5),1.5,IF(AND(MONTH(D2)=8,DAY(D2)&gt;5),1,0)))))</f>
        <v>0</v>
      </c>
      <c r="G206" s="4" t="e">
        <f t="shared" si="46"/>
        <v>#VALUE!</v>
      </c>
      <c r="H206" s="4" t="e">
        <f t="shared" si="46"/>
        <v>#VALUE!</v>
      </c>
      <c r="I206" s="4" t="e">
        <f>IF(AND(MONTH(G2)=9,DAY(G2)&lt;=5),0.5,IF(AND(MONTH(G2)=7,DAY(G2)&lt;=5),2.5,IF(AND(MONTH(G2)=7,DAY(G2)&gt;5),2,IF(AND(MONTH(G2)=8,DAY(G2)&lt;=5),1.5,IF(AND(MONTH(G2)=8,DAY(G2)&gt;5),1,0)))))</f>
        <v>#VALUE!</v>
      </c>
    </row>
    <row r="207" spans="1:12" x14ac:dyDescent="0.2">
      <c r="A207" s="318"/>
      <c r="B207" s="315" t="s">
        <v>146</v>
      </c>
      <c r="C207" s="315"/>
      <c r="D207" s="316"/>
      <c r="E207" s="4">
        <f>2.5-E206</f>
        <v>2.5</v>
      </c>
      <c r="F207" s="4">
        <f>IF(D4="",0,2.5-F206)</f>
        <v>2.5</v>
      </c>
      <c r="G207" s="4">
        <f t="shared" ref="G207:I207" si="47">IF(E4="",0,2.5-G206)</f>
        <v>0</v>
      </c>
      <c r="H207" s="4">
        <f t="shared" si="47"/>
        <v>0</v>
      </c>
      <c r="I207" s="4">
        <f t="shared" si="47"/>
        <v>0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>
        <f>IF(AND(MONTH(C2)=7,DAY(C2)&lt;=5),2,IF(AND(MONTH(C2)=7,DAY(C2)&gt;5),1.5,IF(AND(MONTH(C2)=8,DAY(C2)&lt;=5),1,IF(AND(MONTH(C2)=8,DAY(C2)&gt;5),0.5,0))))</f>
        <v>0</v>
      </c>
      <c r="F208" s="4">
        <f t="shared" ref="F208:I208" si="48">IF(AND(MONTH(D2)=7,DAY(D2)&lt;=5),2,IF(AND(MONTH(D2)=7,DAY(D2)&gt;5),1.5,IF(AND(MONTH(D2)=8,DAY(D2)&lt;=5),1,IF(AND(MONTH(D2)=8,DAY(D2)&gt;5),0.5,0))))</f>
        <v>0</v>
      </c>
      <c r="G208" s="4" t="e">
        <f t="shared" si="48"/>
        <v>#VALUE!</v>
      </c>
      <c r="H208" s="4" t="e">
        <f t="shared" si="48"/>
        <v>#VALUE!</v>
      </c>
      <c r="I208" s="4" t="e">
        <f t="shared" si="48"/>
        <v>#VALUE!</v>
      </c>
    </row>
    <row r="209" spans="1:12" x14ac:dyDescent="0.2">
      <c r="A209" s="318"/>
      <c r="B209" s="315" t="s">
        <v>146</v>
      </c>
      <c r="C209" s="315"/>
      <c r="D209" s="316"/>
      <c r="E209" s="4">
        <f>2-E208</f>
        <v>2</v>
      </c>
      <c r="F209" s="4">
        <f>IF(D4="",0,2-F208)</f>
        <v>2</v>
      </c>
      <c r="G209" s="4">
        <f t="shared" ref="G209:I209" si="49">IF(E4="",0,2-G208)</f>
        <v>0</v>
      </c>
      <c r="H209" s="4">
        <f t="shared" si="49"/>
        <v>0</v>
      </c>
      <c r="I209" s="4">
        <f t="shared" si="49"/>
        <v>0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>
        <f>IF(E206&gt;C9,C9,E206)</f>
        <v>0</v>
      </c>
      <c r="F210" s="114">
        <f>IF(F206&gt;D9,D9,F206)</f>
        <v>0</v>
      </c>
      <c r="G210" s="114" t="e">
        <f t="shared" ref="G210:I210" si="50">IF(G206&gt;E9,E9,G206)</f>
        <v>#VALUE!</v>
      </c>
      <c r="H210" s="114" t="e">
        <f t="shared" si="50"/>
        <v>#VALUE!</v>
      </c>
      <c r="I210" s="114" t="e">
        <f t="shared" si="50"/>
        <v>#VALUE!</v>
      </c>
    </row>
    <row r="211" spans="1:12" x14ac:dyDescent="0.2">
      <c r="A211" s="318"/>
      <c r="B211" s="315" t="s">
        <v>148</v>
      </c>
      <c r="C211" s="315"/>
      <c r="D211" s="316"/>
      <c r="E211" s="114">
        <f>IF(E207&gt;C10,C10,E207)</f>
        <v>2.5</v>
      </c>
      <c r="F211" s="114">
        <f t="shared" ref="F211:I211" si="51">IF(F207&gt;D10,D10,F207)</f>
        <v>2.5</v>
      </c>
      <c r="G211" s="114">
        <f t="shared" si="51"/>
        <v>0</v>
      </c>
      <c r="H211" s="114">
        <f t="shared" si="51"/>
        <v>0</v>
      </c>
      <c r="I211" s="114">
        <f t="shared" si="51"/>
        <v>0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>
        <f>IF(E208&gt;C9,C9,E208)</f>
        <v>0</v>
      </c>
      <c r="F212" s="114">
        <f t="shared" ref="F212:I212" si="52">IF(F208&gt;D9,D9,F208)</f>
        <v>0</v>
      </c>
      <c r="G212" s="114" t="e">
        <f t="shared" si="52"/>
        <v>#VALUE!</v>
      </c>
      <c r="H212" s="114" t="e">
        <f t="shared" si="52"/>
        <v>#VALUE!</v>
      </c>
      <c r="I212" s="114" t="e">
        <f t="shared" si="52"/>
        <v>#VALUE!</v>
      </c>
    </row>
    <row r="213" spans="1:12" x14ac:dyDescent="0.2">
      <c r="A213" s="318"/>
      <c r="B213" s="315" t="s">
        <v>148</v>
      </c>
      <c r="C213" s="315"/>
      <c r="D213" s="316"/>
      <c r="E213" s="114">
        <f>IF(E209&gt;C10,C10,E209)</f>
        <v>2</v>
      </c>
      <c r="F213" s="114">
        <f t="shared" ref="F213:I213" si="53">IF(F209&gt;D10,D10,F209)</f>
        <v>2</v>
      </c>
      <c r="G213" s="114">
        <f t="shared" si="53"/>
        <v>0</v>
      </c>
      <c r="H213" s="114">
        <f>IF(H209&gt;F10,F10,H209)</f>
        <v>0</v>
      </c>
      <c r="I213" s="114">
        <f t="shared" si="53"/>
        <v>0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>
        <f t="shared" ref="A218:A241" si="54">A177</f>
        <v>0</v>
      </c>
      <c r="B218" s="4">
        <f>IF(L218="A",IF(H177&lt;$E$204,H177,$E$204),IF(L218="B",IF(H177&lt;$E$210,H177,$E$210),IF(L218="C",IF(H177&lt;$E$212,H177,$E$212),IF(L218="D",0))))</f>
        <v>0</v>
      </c>
      <c r="C218" s="70" t="e">
        <f t="shared" ref="C218:C241" si="55">H177-B218</f>
        <v>#REF!</v>
      </c>
      <c r="D218" s="4">
        <f>IF(L218="A",IF(I177&lt;$F$204,I177,$F$204),IF(L218="B",IF(I177&lt;$F$210,I177,$F$210),IF(L218="C",IF(I177&lt;$F$212,I177,$F$212),IF(L218="D",0))))</f>
        <v>0</v>
      </c>
      <c r="E218" s="70" t="e">
        <f t="shared" ref="E218:E241" si="56">I177-D218</f>
        <v>#REF!</v>
      </c>
      <c r="F218" s="4">
        <f>IF(L218="A",IF(J177&lt;$G$204,J177,$G$204),IF(L218="B",IF(J177&lt;$G$210,J177,$G$210),IF(L218="C",IF(J177&lt;$G$212,J177,$G$212),IF(L218="D",0))))</f>
        <v>0</v>
      </c>
      <c r="G218" s="70" t="e">
        <f t="shared" ref="G218:G241" si="57">J177-F218</f>
        <v>#REF!</v>
      </c>
      <c r="H218" s="4">
        <f>IF(L218="A",IF(K177&lt;$H$204,K177,$H$204),IF(L218="B",IF(K177&lt;$H$210,K177,$H$210),IF(L218="C",IF(K177&lt;$H$212,K177,$H$212),IF(L218="D",0))))</f>
        <v>0</v>
      </c>
      <c r="I218" s="70" t="e">
        <f t="shared" ref="I218:I241" si="58">K177-H218</f>
        <v>#REF!</v>
      </c>
      <c r="J218" s="4">
        <f>IF(L218="A",IF(L177&lt;$I$204,L177,$I$204),IF(L218="B",IF(L177&lt;$I$210,L177,$I$210),IF(L218="C",IF(L177&lt;$I$212,L177,$I$212),IF(L218="D",0))))</f>
        <v>0</v>
      </c>
      <c r="K218" s="70" t="e">
        <f t="shared" ref="K218:K241" si="59">L177-J218</f>
        <v>#REF!</v>
      </c>
      <c r="L218" s="1" t="str">
        <f>IF('Pilot Project Budget'!D36="F-SMRA","A",IF('Pilot Project Budget'!D36="F-SMRB","B",IF('Pilot Project Budget'!D36="F-SMRC","C","D")))</f>
        <v>D</v>
      </c>
    </row>
    <row r="219" spans="1:12" x14ac:dyDescent="0.2">
      <c r="A219" s="76">
        <f t="shared" si="54"/>
        <v>0</v>
      </c>
      <c r="B219" s="4">
        <f t="shared" ref="B219:B241" si="60">IF(L219="A",IF(H178&lt;$E$204,H178,$E$204),IF(L219="B",IF(H178&lt;$E$210,H178,$E$210),IF(L219="C",IF(H178&lt;$E$212,H178,$E$212),IF(L219="D",0))))</f>
        <v>0</v>
      </c>
      <c r="C219" s="70" t="e">
        <f t="shared" si="55"/>
        <v>#REF!</v>
      </c>
      <c r="D219" s="4">
        <f t="shared" ref="D219:D241" si="61">IF(L219="A",IF(I178&lt;$F$204,I178,$F$204),IF(L219="B",IF(I178&lt;$F$210,I178,$F$210),IF(L219="C",IF(I178&lt;$F$212,I178,$F$212),IF(L219="D",0))))</f>
        <v>0</v>
      </c>
      <c r="E219" s="70" t="e">
        <f t="shared" si="56"/>
        <v>#REF!</v>
      </c>
      <c r="F219" s="4">
        <f t="shared" ref="F219:F241" si="62">IF(L219="A",IF(J178&lt;$G$204,J178,$G$204),IF(L219="B",IF(J178&lt;$G$210,J178,$G$210),IF(L219="C",IF(J178&lt;$G$212,J178,$G$212),IF(L219="D",0))))</f>
        <v>0</v>
      </c>
      <c r="G219" s="70" t="e">
        <f t="shared" si="57"/>
        <v>#REF!</v>
      </c>
      <c r="H219" s="4">
        <f t="shared" ref="H219:H241" si="63">IF(L219="A",IF(K178&lt;$H$204,K178,$H$204),IF(L219="B",IF(K178&lt;$H$210,K178,$H$210),IF(L219="C",IF(K178&lt;$H$212,K178,$H$212),IF(L219="D",0))))</f>
        <v>0</v>
      </c>
      <c r="I219" s="70" t="e">
        <f t="shared" si="58"/>
        <v>#REF!</v>
      </c>
      <c r="J219" s="4">
        <f t="shared" ref="J219:J241" si="64">IF(L219="A",IF(L178&lt;$I$204,L178,$I$204),IF(L219="B",IF(L178&lt;$I$210,L178,$I$210),IF(L219="C",IF(L178&lt;$I$212,L178,$I$212),IF(L219="D",0))))</f>
        <v>0</v>
      </c>
      <c r="K219" s="70" t="e">
        <f t="shared" si="59"/>
        <v>#REF!</v>
      </c>
      <c r="L219" s="1" t="str">
        <f>IF('Pilot Project Budget'!D37="F-SMRA","A",IF('Pilot Project Budget'!D37="F-SMRB","B",IF('Pilot Project Budget'!D37="F-SMRC","C","D")))</f>
        <v>D</v>
      </c>
    </row>
    <row r="220" spans="1:12" x14ac:dyDescent="0.2">
      <c r="A220" s="76">
        <f t="shared" si="54"/>
        <v>0</v>
      </c>
      <c r="B220" s="4">
        <f t="shared" si="60"/>
        <v>0</v>
      </c>
      <c r="C220" s="70" t="e">
        <f t="shared" si="55"/>
        <v>#REF!</v>
      </c>
      <c r="D220" s="4">
        <f t="shared" si="61"/>
        <v>0</v>
      </c>
      <c r="E220" s="70" t="e">
        <f t="shared" si="56"/>
        <v>#REF!</v>
      </c>
      <c r="F220" s="4">
        <f t="shared" si="62"/>
        <v>0</v>
      </c>
      <c r="G220" s="70" t="e">
        <f t="shared" si="57"/>
        <v>#REF!</v>
      </c>
      <c r="H220" s="4">
        <f t="shared" si="63"/>
        <v>0</v>
      </c>
      <c r="I220" s="70" t="e">
        <f t="shared" si="58"/>
        <v>#REF!</v>
      </c>
      <c r="J220" s="4">
        <f t="shared" si="64"/>
        <v>0</v>
      </c>
      <c r="K220" s="70" t="e">
        <f t="shared" si="59"/>
        <v>#REF!</v>
      </c>
      <c r="L220" s="1" t="str">
        <f>IF('Pilot Project Budget'!D38="F-SMRA","A",IF('Pilot Project Budget'!D38="F-SMRB","B",IF('Pilot Project Budget'!D38="F-SMRC","C","D")))</f>
        <v>D</v>
      </c>
    </row>
    <row r="221" spans="1:12" x14ac:dyDescent="0.2">
      <c r="A221" s="76">
        <f t="shared" si="54"/>
        <v>0</v>
      </c>
      <c r="B221" s="4">
        <f t="shared" si="60"/>
        <v>0</v>
      </c>
      <c r="C221" s="70" t="e">
        <f t="shared" si="55"/>
        <v>#REF!</v>
      </c>
      <c r="D221" s="4">
        <f t="shared" si="61"/>
        <v>0</v>
      </c>
      <c r="E221" s="70" t="e">
        <f t="shared" si="56"/>
        <v>#REF!</v>
      </c>
      <c r="F221" s="4">
        <f t="shared" si="62"/>
        <v>0</v>
      </c>
      <c r="G221" s="70" t="e">
        <f t="shared" si="57"/>
        <v>#REF!</v>
      </c>
      <c r="H221" s="4">
        <f t="shared" si="63"/>
        <v>0</v>
      </c>
      <c r="I221" s="70" t="e">
        <f t="shared" si="58"/>
        <v>#REF!</v>
      </c>
      <c r="J221" s="4">
        <f t="shared" si="64"/>
        <v>0</v>
      </c>
      <c r="K221" s="70" t="e">
        <f t="shared" si="59"/>
        <v>#REF!</v>
      </c>
      <c r="L221" s="1" t="str">
        <f>IF('Pilot Project Budget'!D39="F-SMRA","A",IF('Pilot Project Budget'!D39="F-SMRB","B",IF('Pilot Project Budget'!D39="F-SMRC","C","D")))</f>
        <v>D</v>
      </c>
    </row>
    <row r="222" spans="1:12" x14ac:dyDescent="0.2">
      <c r="A222" s="76">
        <f t="shared" si="54"/>
        <v>0</v>
      </c>
      <c r="B222" s="4">
        <f t="shared" si="60"/>
        <v>0</v>
      </c>
      <c r="C222" s="70" t="e">
        <f t="shared" si="55"/>
        <v>#REF!</v>
      </c>
      <c r="D222" s="4">
        <f t="shared" si="61"/>
        <v>0</v>
      </c>
      <c r="E222" s="70" t="e">
        <f t="shared" si="56"/>
        <v>#REF!</v>
      </c>
      <c r="F222" s="4">
        <f t="shared" si="62"/>
        <v>0</v>
      </c>
      <c r="G222" s="70" t="e">
        <f t="shared" si="57"/>
        <v>#REF!</v>
      </c>
      <c r="H222" s="4">
        <f t="shared" si="63"/>
        <v>0</v>
      </c>
      <c r="I222" s="70" t="e">
        <f t="shared" si="58"/>
        <v>#REF!</v>
      </c>
      <c r="J222" s="4">
        <f t="shared" si="64"/>
        <v>0</v>
      </c>
      <c r="K222" s="70" t="e">
        <f t="shared" si="59"/>
        <v>#REF!</v>
      </c>
      <c r="L222" s="1" t="str">
        <f>IF('Pilot Project Budget'!D40="F-SMRA","A",IF('Pilot Project Budget'!D40="F-SMRB","B",IF('Pilot Project Budget'!D40="F-SMRC","C","D")))</f>
        <v>D</v>
      </c>
    </row>
    <row r="223" spans="1:12" x14ac:dyDescent="0.2">
      <c r="A223" s="76">
        <f t="shared" si="54"/>
        <v>0</v>
      </c>
      <c r="B223" s="4">
        <f t="shared" si="60"/>
        <v>0</v>
      </c>
      <c r="C223" s="70" t="e">
        <f t="shared" si="55"/>
        <v>#REF!</v>
      </c>
      <c r="D223" s="4">
        <f t="shared" si="61"/>
        <v>0</v>
      </c>
      <c r="E223" s="70" t="e">
        <f t="shared" si="56"/>
        <v>#REF!</v>
      </c>
      <c r="F223" s="4">
        <f t="shared" si="62"/>
        <v>0</v>
      </c>
      <c r="G223" s="70" t="e">
        <f t="shared" si="57"/>
        <v>#REF!</v>
      </c>
      <c r="H223" s="4">
        <f t="shared" si="63"/>
        <v>0</v>
      </c>
      <c r="I223" s="70" t="e">
        <f t="shared" si="58"/>
        <v>#REF!</v>
      </c>
      <c r="J223" s="4">
        <f>IF(L223="A",IF(L182&lt;$I$204,L182,$I$204),IF(L223="B",IF(L182&lt;$I$210,L182,$I$210),IF(L223="C",IF(L182&lt;$I$212,L182,$I$212),IF(L223="D",0))))</f>
        <v>0</v>
      </c>
      <c r="K223" s="70" t="e">
        <f t="shared" si="59"/>
        <v>#REF!</v>
      </c>
      <c r="L223" s="1" t="str">
        <f>IF('Pilot Project Budget'!D41="F-SMRA","A",IF('Pilot Project Budget'!D41="F-SMRB","B",IF('Pilot Project Budget'!D41="F-SMRC","C","D")))</f>
        <v>D</v>
      </c>
    </row>
    <row r="224" spans="1:12" x14ac:dyDescent="0.2">
      <c r="A224" s="76">
        <f t="shared" si="54"/>
        <v>0</v>
      </c>
      <c r="B224" s="4">
        <f t="shared" si="60"/>
        <v>0</v>
      </c>
      <c r="C224" s="70" t="e">
        <f t="shared" si="55"/>
        <v>#REF!</v>
      </c>
      <c r="D224" s="4">
        <f t="shared" si="61"/>
        <v>0</v>
      </c>
      <c r="E224" s="70" t="e">
        <f t="shared" si="56"/>
        <v>#REF!</v>
      </c>
      <c r="F224" s="4">
        <f t="shared" si="62"/>
        <v>0</v>
      </c>
      <c r="G224" s="70" t="e">
        <f t="shared" si="57"/>
        <v>#REF!</v>
      </c>
      <c r="H224" s="4">
        <f t="shared" si="63"/>
        <v>0</v>
      </c>
      <c r="I224" s="70" t="e">
        <f t="shared" si="58"/>
        <v>#REF!</v>
      </c>
      <c r="J224" s="4">
        <f t="shared" si="64"/>
        <v>0</v>
      </c>
      <c r="K224" s="70" t="e">
        <f t="shared" si="59"/>
        <v>#REF!</v>
      </c>
      <c r="L224" s="1" t="str">
        <f>IF('Pilot Project Budget'!D42="F-SMRA","A",IF('Pilot Project Budget'!D42="F-SMRB","B",IF('Pilot Project Budget'!D42="F-SMRC","C","D")))</f>
        <v>D</v>
      </c>
    </row>
    <row r="225" spans="1:12" x14ac:dyDescent="0.2">
      <c r="A225" s="76">
        <f t="shared" si="54"/>
        <v>0</v>
      </c>
      <c r="B225" s="4">
        <f t="shared" si="60"/>
        <v>0</v>
      </c>
      <c r="C225" s="70" t="e">
        <f t="shared" si="55"/>
        <v>#REF!</v>
      </c>
      <c r="D225" s="4">
        <f t="shared" si="61"/>
        <v>0</v>
      </c>
      <c r="E225" s="70" t="e">
        <f t="shared" si="56"/>
        <v>#REF!</v>
      </c>
      <c r="F225" s="4">
        <f t="shared" si="62"/>
        <v>0</v>
      </c>
      <c r="G225" s="70" t="e">
        <f t="shared" si="57"/>
        <v>#REF!</v>
      </c>
      <c r="H225" s="4">
        <f t="shared" si="63"/>
        <v>0</v>
      </c>
      <c r="I225" s="70" t="e">
        <f t="shared" si="58"/>
        <v>#REF!</v>
      </c>
      <c r="J225" s="4">
        <f t="shared" si="64"/>
        <v>0</v>
      </c>
      <c r="K225" s="70" t="e">
        <f t="shared" si="59"/>
        <v>#REF!</v>
      </c>
      <c r="L225" s="1" t="str">
        <f>IF('Pilot Project Budget'!D43="F-SMRA","A",IF('Pilot Project Budget'!D43="F-SMRB","B",IF('Pilot Project Budget'!D43="F-SMRC","C","D")))</f>
        <v>D</v>
      </c>
    </row>
    <row r="226" spans="1:12" x14ac:dyDescent="0.2">
      <c r="A226" s="76">
        <f t="shared" si="54"/>
        <v>0</v>
      </c>
      <c r="B226" s="4">
        <f t="shared" si="60"/>
        <v>0</v>
      </c>
      <c r="C226" s="70" t="e">
        <f t="shared" si="55"/>
        <v>#REF!</v>
      </c>
      <c r="D226" s="4">
        <f t="shared" si="61"/>
        <v>0</v>
      </c>
      <c r="E226" s="70" t="e">
        <f t="shared" si="56"/>
        <v>#REF!</v>
      </c>
      <c r="F226" s="4">
        <f t="shared" si="62"/>
        <v>0</v>
      </c>
      <c r="G226" s="70" t="e">
        <f t="shared" si="57"/>
        <v>#REF!</v>
      </c>
      <c r="H226" s="4">
        <f t="shared" si="63"/>
        <v>0</v>
      </c>
      <c r="I226" s="70" t="e">
        <f t="shared" si="58"/>
        <v>#REF!</v>
      </c>
      <c r="J226" s="4">
        <f t="shared" si="64"/>
        <v>0</v>
      </c>
      <c r="K226" s="70" t="e">
        <f t="shared" si="59"/>
        <v>#REF!</v>
      </c>
      <c r="L226" s="1" t="str">
        <f>IF('Pilot Project Budget'!D44="F-SMRA","A",IF('Pilot Project Budget'!D44="F-SMRB","B",IF('Pilot Project Budget'!D44="F-SMRC","C","D")))</f>
        <v>D</v>
      </c>
    </row>
    <row r="227" spans="1:12" x14ac:dyDescent="0.2">
      <c r="A227" s="76">
        <f t="shared" si="54"/>
        <v>0</v>
      </c>
      <c r="B227" s="4">
        <f t="shared" si="60"/>
        <v>0</v>
      </c>
      <c r="C227" s="70" t="e">
        <f t="shared" si="55"/>
        <v>#REF!</v>
      </c>
      <c r="D227" s="4">
        <f t="shared" si="61"/>
        <v>0</v>
      </c>
      <c r="E227" s="70" t="e">
        <f t="shared" si="56"/>
        <v>#REF!</v>
      </c>
      <c r="F227" s="4">
        <f t="shared" si="62"/>
        <v>0</v>
      </c>
      <c r="G227" s="70" t="e">
        <f t="shared" si="57"/>
        <v>#REF!</v>
      </c>
      <c r="H227" s="4">
        <f t="shared" si="63"/>
        <v>0</v>
      </c>
      <c r="I227" s="70" t="e">
        <f t="shared" si="58"/>
        <v>#REF!</v>
      </c>
      <c r="J227" s="4">
        <f t="shared" si="64"/>
        <v>0</v>
      </c>
      <c r="K227" s="70" t="e">
        <f t="shared" si="59"/>
        <v>#REF!</v>
      </c>
      <c r="L227" s="1" t="str">
        <f>IF('Pilot Project Budget'!D45="F-SMRA","A",IF('Pilot Project Budget'!D45="F-SMRB","B",IF('Pilot Project Budget'!D45="F-SMRC","C","D")))</f>
        <v>D</v>
      </c>
    </row>
    <row r="228" spans="1:12" x14ac:dyDescent="0.2">
      <c r="A228" s="76">
        <f t="shared" si="54"/>
        <v>0</v>
      </c>
      <c r="B228" s="4">
        <f t="shared" si="60"/>
        <v>0</v>
      </c>
      <c r="C228" s="70" t="e">
        <f t="shared" si="55"/>
        <v>#REF!</v>
      </c>
      <c r="D228" s="4">
        <f t="shared" si="61"/>
        <v>0</v>
      </c>
      <c r="E228" s="70" t="e">
        <f t="shared" si="56"/>
        <v>#REF!</v>
      </c>
      <c r="F228" s="4">
        <f t="shared" si="62"/>
        <v>0</v>
      </c>
      <c r="G228" s="70" t="e">
        <f t="shared" si="57"/>
        <v>#REF!</v>
      </c>
      <c r="H228" s="4">
        <f t="shared" si="63"/>
        <v>0</v>
      </c>
      <c r="I228" s="70" t="e">
        <f t="shared" si="58"/>
        <v>#REF!</v>
      </c>
      <c r="J228" s="4">
        <f t="shared" si="64"/>
        <v>0</v>
      </c>
      <c r="K228" s="70" t="e">
        <f t="shared" si="59"/>
        <v>#REF!</v>
      </c>
      <c r="L228" s="1" t="str">
        <f>IF('Pilot Project Budget'!D46="F-SMRA","A",IF('Pilot Project Budget'!D46="F-SMRB","B",IF('Pilot Project Budget'!D46="F-SMRC","C","D")))</f>
        <v>D</v>
      </c>
    </row>
    <row r="229" spans="1:12" x14ac:dyDescent="0.2">
      <c r="A229" s="76">
        <f t="shared" si="54"/>
        <v>0</v>
      </c>
      <c r="B229" s="4">
        <f t="shared" si="60"/>
        <v>0</v>
      </c>
      <c r="C229" s="70" t="e">
        <f t="shared" si="55"/>
        <v>#REF!</v>
      </c>
      <c r="D229" s="4">
        <f t="shared" si="61"/>
        <v>0</v>
      </c>
      <c r="E229" s="70" t="e">
        <f t="shared" si="56"/>
        <v>#REF!</v>
      </c>
      <c r="F229" s="4">
        <f t="shared" si="62"/>
        <v>0</v>
      </c>
      <c r="G229" s="70" t="e">
        <f t="shared" si="57"/>
        <v>#REF!</v>
      </c>
      <c r="H229" s="4">
        <f t="shared" si="63"/>
        <v>0</v>
      </c>
      <c r="I229" s="70" t="e">
        <f t="shared" si="58"/>
        <v>#REF!</v>
      </c>
      <c r="J229" s="4">
        <f t="shared" si="64"/>
        <v>0</v>
      </c>
      <c r="K229" s="70" t="e">
        <f t="shared" si="59"/>
        <v>#REF!</v>
      </c>
      <c r="L229" s="1" t="str">
        <f>IF('Pilot Project Budget'!D47="F-SMRA","A",IF('Pilot Project Budget'!D47="F-SMRB","B",IF('Pilot Project Budget'!D47="F-SMRC","C","D")))</f>
        <v>D</v>
      </c>
    </row>
    <row r="230" spans="1:12" x14ac:dyDescent="0.2">
      <c r="A230" s="76">
        <f t="shared" si="54"/>
        <v>0</v>
      </c>
      <c r="B230" s="4">
        <f t="shared" si="60"/>
        <v>0</v>
      </c>
      <c r="C230" s="70" t="e">
        <f t="shared" si="55"/>
        <v>#REF!</v>
      </c>
      <c r="D230" s="4">
        <f t="shared" si="61"/>
        <v>0</v>
      </c>
      <c r="E230" s="70" t="e">
        <f t="shared" si="56"/>
        <v>#REF!</v>
      </c>
      <c r="F230" s="4">
        <f t="shared" si="62"/>
        <v>0</v>
      </c>
      <c r="G230" s="70" t="e">
        <f t="shared" si="57"/>
        <v>#REF!</v>
      </c>
      <c r="H230" s="4">
        <f t="shared" si="63"/>
        <v>0</v>
      </c>
      <c r="I230" s="70" t="e">
        <f t="shared" si="58"/>
        <v>#REF!</v>
      </c>
      <c r="J230" s="4">
        <f t="shared" si="64"/>
        <v>0</v>
      </c>
      <c r="K230" s="70" t="e">
        <f t="shared" si="59"/>
        <v>#REF!</v>
      </c>
      <c r="L230" s="1" t="str">
        <f>IF('Pilot Project Budget'!D48="F-SMRA","A",IF('Pilot Project Budget'!D48="F-SMRB","B",IF('Pilot Project Budget'!D48="F-SMRC","C","D")))</f>
        <v>D</v>
      </c>
    </row>
    <row r="231" spans="1:12" x14ac:dyDescent="0.2">
      <c r="A231" s="76">
        <f t="shared" si="54"/>
        <v>0</v>
      </c>
      <c r="B231" s="4">
        <f t="shared" si="60"/>
        <v>0</v>
      </c>
      <c r="C231" s="70" t="e">
        <f t="shared" si="55"/>
        <v>#REF!</v>
      </c>
      <c r="D231" s="4">
        <f t="shared" si="61"/>
        <v>0</v>
      </c>
      <c r="E231" s="70" t="e">
        <f t="shared" si="56"/>
        <v>#REF!</v>
      </c>
      <c r="F231" s="4">
        <f t="shared" si="62"/>
        <v>0</v>
      </c>
      <c r="G231" s="70" t="e">
        <f t="shared" si="57"/>
        <v>#REF!</v>
      </c>
      <c r="H231" s="4">
        <f t="shared" si="63"/>
        <v>0</v>
      </c>
      <c r="I231" s="70" t="e">
        <f t="shared" si="58"/>
        <v>#REF!</v>
      </c>
      <c r="J231" s="4">
        <f t="shared" si="64"/>
        <v>0</v>
      </c>
      <c r="K231" s="70" t="e">
        <f t="shared" si="59"/>
        <v>#REF!</v>
      </c>
      <c r="L231" s="1" t="str">
        <f>IF('Pilot Project Budget'!D49="F-SMRA","A",IF('Pilot Project Budget'!D49="F-SMRB","B",IF('Pilot Project Budget'!D49="F-SMRC","C","D")))</f>
        <v>D</v>
      </c>
    </row>
    <row r="232" spans="1:12" x14ac:dyDescent="0.2">
      <c r="A232" s="76">
        <f t="shared" si="54"/>
        <v>0</v>
      </c>
      <c r="B232" s="4">
        <f t="shared" si="60"/>
        <v>0</v>
      </c>
      <c r="C232" s="70" t="e">
        <f t="shared" si="55"/>
        <v>#REF!</v>
      </c>
      <c r="D232" s="4">
        <f t="shared" si="61"/>
        <v>0</v>
      </c>
      <c r="E232" s="70" t="e">
        <f t="shared" si="56"/>
        <v>#REF!</v>
      </c>
      <c r="F232" s="4">
        <f t="shared" si="62"/>
        <v>0</v>
      </c>
      <c r="G232" s="70" t="e">
        <f t="shared" si="57"/>
        <v>#REF!</v>
      </c>
      <c r="H232" s="4">
        <f t="shared" si="63"/>
        <v>0</v>
      </c>
      <c r="I232" s="70" t="e">
        <f t="shared" si="58"/>
        <v>#REF!</v>
      </c>
      <c r="J232" s="4">
        <f t="shared" si="64"/>
        <v>0</v>
      </c>
      <c r="K232" s="70" t="e">
        <f t="shared" si="59"/>
        <v>#REF!</v>
      </c>
      <c r="L232" s="1" t="str">
        <f>IF('Pilot Project Budget'!D50="F-SMRA","A",IF('Pilot Project Budget'!D50="F-SMRB","B",IF('Pilot Project Budget'!D50="F-SMRC","C","D")))</f>
        <v>D</v>
      </c>
    </row>
    <row r="233" spans="1:12" x14ac:dyDescent="0.2">
      <c r="A233" s="76">
        <f t="shared" si="54"/>
        <v>0</v>
      </c>
      <c r="B233" s="4">
        <f t="shared" si="60"/>
        <v>0</v>
      </c>
      <c r="C233" s="70" t="e">
        <f t="shared" si="55"/>
        <v>#REF!</v>
      </c>
      <c r="D233" s="4">
        <f t="shared" si="61"/>
        <v>0</v>
      </c>
      <c r="E233" s="70" t="e">
        <f t="shared" si="56"/>
        <v>#REF!</v>
      </c>
      <c r="F233" s="4">
        <f t="shared" si="62"/>
        <v>0</v>
      </c>
      <c r="G233" s="70" t="e">
        <f t="shared" si="57"/>
        <v>#REF!</v>
      </c>
      <c r="H233" s="4">
        <f t="shared" si="63"/>
        <v>0</v>
      </c>
      <c r="I233" s="70" t="e">
        <f t="shared" si="58"/>
        <v>#REF!</v>
      </c>
      <c r="J233" s="4">
        <f t="shared" si="64"/>
        <v>0</v>
      </c>
      <c r="K233" s="70" t="e">
        <f t="shared" si="59"/>
        <v>#REF!</v>
      </c>
      <c r="L233" s="1" t="str">
        <f>IF('Pilot Project Budget'!D51="F-SMRA","A",IF('Pilot Project Budget'!D51="F-SMRB","B",IF('Pilot Project Budget'!D51="F-SMRC","C","D")))</f>
        <v>D</v>
      </c>
    </row>
    <row r="234" spans="1:12" x14ac:dyDescent="0.2">
      <c r="A234" s="76">
        <f t="shared" si="54"/>
        <v>0</v>
      </c>
      <c r="B234" s="4">
        <f t="shared" si="60"/>
        <v>0</v>
      </c>
      <c r="C234" s="70" t="e">
        <f t="shared" si="55"/>
        <v>#REF!</v>
      </c>
      <c r="D234" s="4">
        <f t="shared" si="61"/>
        <v>0</v>
      </c>
      <c r="E234" s="70" t="e">
        <f t="shared" si="56"/>
        <v>#REF!</v>
      </c>
      <c r="F234" s="4">
        <f t="shared" si="62"/>
        <v>0</v>
      </c>
      <c r="G234" s="70" t="e">
        <f t="shared" si="57"/>
        <v>#REF!</v>
      </c>
      <c r="H234" s="4">
        <f t="shared" si="63"/>
        <v>0</v>
      </c>
      <c r="I234" s="70" t="e">
        <f t="shared" si="58"/>
        <v>#REF!</v>
      </c>
      <c r="J234" s="4">
        <f t="shared" si="64"/>
        <v>0</v>
      </c>
      <c r="K234" s="70" t="e">
        <f t="shared" si="59"/>
        <v>#REF!</v>
      </c>
      <c r="L234" s="1" t="str">
        <f>IF('Pilot Project Budget'!D52="F-SMRA","A",IF('Pilot Project Budget'!D52="F-SMRB","B",IF('Pilot Project Budget'!D52="F-SMRC","C","D")))</f>
        <v>D</v>
      </c>
    </row>
    <row r="235" spans="1:12" x14ac:dyDescent="0.2">
      <c r="A235" s="76">
        <f t="shared" si="54"/>
        <v>0</v>
      </c>
      <c r="B235" s="4">
        <f t="shared" si="60"/>
        <v>0</v>
      </c>
      <c r="C235" s="70" t="e">
        <f t="shared" si="55"/>
        <v>#REF!</v>
      </c>
      <c r="D235" s="4">
        <f t="shared" si="61"/>
        <v>0</v>
      </c>
      <c r="E235" s="70" t="e">
        <f t="shared" si="56"/>
        <v>#REF!</v>
      </c>
      <c r="F235" s="4">
        <f t="shared" si="62"/>
        <v>0</v>
      </c>
      <c r="G235" s="70" t="e">
        <f t="shared" si="57"/>
        <v>#REF!</v>
      </c>
      <c r="H235" s="4">
        <f t="shared" si="63"/>
        <v>0</v>
      </c>
      <c r="I235" s="70" t="e">
        <f t="shared" si="58"/>
        <v>#REF!</v>
      </c>
      <c r="J235" s="4">
        <f t="shared" si="64"/>
        <v>0</v>
      </c>
      <c r="K235" s="70" t="e">
        <f t="shared" si="59"/>
        <v>#REF!</v>
      </c>
      <c r="L235" s="1" t="str">
        <f>IF('Pilot Project Budget'!D53="F-SMRA","A",IF('Pilot Project Budget'!D53="F-SMRB","B",IF('Pilot Project Budget'!D53="F-SMRC","C","D")))</f>
        <v>D</v>
      </c>
    </row>
    <row r="236" spans="1:12" x14ac:dyDescent="0.2">
      <c r="A236" s="76">
        <f t="shared" si="54"/>
        <v>0</v>
      </c>
      <c r="B236" s="4">
        <f t="shared" si="60"/>
        <v>0</v>
      </c>
      <c r="C236" s="70" t="e">
        <f t="shared" si="55"/>
        <v>#REF!</v>
      </c>
      <c r="D236" s="4">
        <f t="shared" si="61"/>
        <v>0</v>
      </c>
      <c r="E236" s="70" t="e">
        <f t="shared" si="56"/>
        <v>#REF!</v>
      </c>
      <c r="F236" s="4">
        <f t="shared" si="62"/>
        <v>0</v>
      </c>
      <c r="G236" s="70" t="e">
        <f t="shared" si="57"/>
        <v>#REF!</v>
      </c>
      <c r="H236" s="4">
        <f t="shared" si="63"/>
        <v>0</v>
      </c>
      <c r="I236" s="70" t="e">
        <f t="shared" si="58"/>
        <v>#REF!</v>
      </c>
      <c r="J236" s="4">
        <f t="shared" si="64"/>
        <v>0</v>
      </c>
      <c r="K236" s="70" t="e">
        <f t="shared" si="59"/>
        <v>#REF!</v>
      </c>
      <c r="L236" s="1" t="str">
        <f>IF('Pilot Project Budget'!D54="F-SMRA","A",IF('Pilot Project Budget'!D54="F-SMRB","B",IF('Pilot Project Budget'!D54="F-SMRC","C","D")))</f>
        <v>D</v>
      </c>
    </row>
    <row r="237" spans="1:12" x14ac:dyDescent="0.2">
      <c r="A237" s="76">
        <f t="shared" si="54"/>
        <v>0</v>
      </c>
      <c r="B237" s="4">
        <f t="shared" si="60"/>
        <v>0</v>
      </c>
      <c r="C237" s="70" t="e">
        <f t="shared" si="55"/>
        <v>#REF!</v>
      </c>
      <c r="D237" s="4">
        <f t="shared" si="61"/>
        <v>0</v>
      </c>
      <c r="E237" s="70" t="e">
        <f t="shared" si="56"/>
        <v>#REF!</v>
      </c>
      <c r="F237" s="4">
        <f t="shared" si="62"/>
        <v>0</v>
      </c>
      <c r="G237" s="70" t="e">
        <f t="shared" si="57"/>
        <v>#REF!</v>
      </c>
      <c r="H237" s="4">
        <f t="shared" si="63"/>
        <v>0</v>
      </c>
      <c r="I237" s="70" t="e">
        <f t="shared" si="58"/>
        <v>#REF!</v>
      </c>
      <c r="J237" s="4">
        <f t="shared" si="64"/>
        <v>0</v>
      </c>
      <c r="K237" s="70" t="e">
        <f t="shared" si="59"/>
        <v>#REF!</v>
      </c>
      <c r="L237" s="1" t="str">
        <f>IF('Pilot Project Budget'!D55="F-SMRA","A",IF('Pilot Project Budget'!D55="F-SMRB","B",IF('Pilot Project Budget'!D55="F-SMRC","C","D")))</f>
        <v>D</v>
      </c>
    </row>
    <row r="238" spans="1:12" x14ac:dyDescent="0.2">
      <c r="A238" s="76">
        <f t="shared" si="54"/>
        <v>0</v>
      </c>
      <c r="B238" s="4">
        <f t="shared" si="60"/>
        <v>0</v>
      </c>
      <c r="C238" s="70" t="e">
        <f t="shared" si="55"/>
        <v>#REF!</v>
      </c>
      <c r="D238" s="4">
        <f t="shared" si="61"/>
        <v>0</v>
      </c>
      <c r="E238" s="70" t="e">
        <f t="shared" si="56"/>
        <v>#REF!</v>
      </c>
      <c r="F238" s="4">
        <f t="shared" si="62"/>
        <v>0</v>
      </c>
      <c r="G238" s="70" t="e">
        <f t="shared" si="57"/>
        <v>#REF!</v>
      </c>
      <c r="H238" s="4">
        <f t="shared" si="63"/>
        <v>0</v>
      </c>
      <c r="I238" s="70" t="e">
        <f t="shared" si="58"/>
        <v>#REF!</v>
      </c>
      <c r="J238" s="4">
        <f t="shared" si="64"/>
        <v>0</v>
      </c>
      <c r="K238" s="70" t="e">
        <f t="shared" si="59"/>
        <v>#REF!</v>
      </c>
      <c r="L238" s="1" t="str">
        <f>IF('Pilot Project Budget'!D56="F-SMRA","A",IF('Pilot Project Budget'!D56="F-SMRB","B",IF('Pilot Project Budget'!D56="F-SMRC","C","D")))</f>
        <v>D</v>
      </c>
    </row>
    <row r="239" spans="1:12" x14ac:dyDescent="0.2">
      <c r="A239" s="76">
        <f t="shared" si="54"/>
        <v>0</v>
      </c>
      <c r="B239" s="4">
        <f t="shared" si="60"/>
        <v>0</v>
      </c>
      <c r="C239" s="70" t="e">
        <f t="shared" si="55"/>
        <v>#REF!</v>
      </c>
      <c r="D239" s="4">
        <f t="shared" si="61"/>
        <v>0</v>
      </c>
      <c r="E239" s="70" t="e">
        <f t="shared" si="56"/>
        <v>#REF!</v>
      </c>
      <c r="F239" s="4">
        <f t="shared" si="62"/>
        <v>0</v>
      </c>
      <c r="G239" s="70" t="e">
        <f t="shared" si="57"/>
        <v>#REF!</v>
      </c>
      <c r="H239" s="4">
        <f t="shared" si="63"/>
        <v>0</v>
      </c>
      <c r="I239" s="70" t="e">
        <f t="shared" si="58"/>
        <v>#REF!</v>
      </c>
      <c r="J239" s="4">
        <f t="shared" si="64"/>
        <v>0</v>
      </c>
      <c r="K239" s="70" t="e">
        <f t="shared" si="59"/>
        <v>#REF!</v>
      </c>
      <c r="L239" s="1" t="str">
        <f>IF('Pilot Project Budget'!D57="F-SMRA","A",IF('Pilot Project Budget'!D57="F-SMRB","B",IF('Pilot Project Budget'!D57="F-SMRC","C","D")))</f>
        <v>D</v>
      </c>
    </row>
    <row r="240" spans="1:12" x14ac:dyDescent="0.2">
      <c r="A240" s="76">
        <f t="shared" si="54"/>
        <v>0</v>
      </c>
      <c r="B240" s="4">
        <f t="shared" si="60"/>
        <v>0</v>
      </c>
      <c r="C240" s="70" t="e">
        <f t="shared" si="55"/>
        <v>#REF!</v>
      </c>
      <c r="D240" s="4">
        <f t="shared" si="61"/>
        <v>0</v>
      </c>
      <c r="E240" s="70" t="e">
        <f t="shared" si="56"/>
        <v>#REF!</v>
      </c>
      <c r="F240" s="4">
        <f t="shared" si="62"/>
        <v>0</v>
      </c>
      <c r="G240" s="70" t="e">
        <f t="shared" si="57"/>
        <v>#REF!</v>
      </c>
      <c r="H240" s="4">
        <f t="shared" si="63"/>
        <v>0</v>
      </c>
      <c r="I240" s="70" t="e">
        <f t="shared" si="58"/>
        <v>#REF!</v>
      </c>
      <c r="J240" s="4">
        <f t="shared" si="64"/>
        <v>0</v>
      </c>
      <c r="K240" s="70" t="e">
        <f t="shared" si="59"/>
        <v>#REF!</v>
      </c>
      <c r="L240" s="1" t="str">
        <f>IF('Pilot Project Budget'!D58="F-SMRA","A",IF('Pilot Project Budget'!D58="F-SMRB","B",IF('Pilot Project Budget'!D58="F-SMRC","C","D")))</f>
        <v>D</v>
      </c>
    </row>
    <row r="241" spans="1:12" x14ac:dyDescent="0.2">
      <c r="A241" s="77">
        <f t="shared" si="54"/>
        <v>0</v>
      </c>
      <c r="B241" s="4">
        <f t="shared" si="60"/>
        <v>0</v>
      </c>
      <c r="C241" s="70" t="e">
        <f t="shared" si="55"/>
        <v>#REF!</v>
      </c>
      <c r="D241" s="4">
        <f t="shared" si="61"/>
        <v>0</v>
      </c>
      <c r="E241" s="70" t="e">
        <f t="shared" si="56"/>
        <v>#REF!</v>
      </c>
      <c r="F241" s="4">
        <f t="shared" si="62"/>
        <v>0</v>
      </c>
      <c r="G241" s="70" t="e">
        <f t="shared" si="57"/>
        <v>#REF!</v>
      </c>
      <c r="H241" s="4">
        <f t="shared" si="63"/>
        <v>0</v>
      </c>
      <c r="I241" s="70" t="e">
        <f t="shared" si="58"/>
        <v>#REF!</v>
      </c>
      <c r="J241" s="4">
        <f t="shared" si="64"/>
        <v>0</v>
      </c>
      <c r="K241" s="70" t="e">
        <f t="shared" si="59"/>
        <v>#REF!</v>
      </c>
      <c r="L241" s="1" t="str">
        <f>IF('Pilot Project Budget'!D59="F-SMRA","A",IF('Pilot Project Budget'!D59="F-SMRB","B",IF('Pilot Project Budget'!D59="F-SMRC","C","D")))</f>
        <v>D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>
        <f t="shared" ref="B247:K247" si="65">B56</f>
        <v>0.26300000000000001</v>
      </c>
      <c r="C247" s="83">
        <f t="shared" si="65"/>
        <v>0.27100000000000002</v>
      </c>
      <c r="D247" s="83">
        <f t="shared" si="65"/>
        <v>0.27100000000000002</v>
      </c>
      <c r="E247" s="83">
        <f t="shared" si="65"/>
        <v>0.27900000000000003</v>
      </c>
      <c r="F247" s="83">
        <f t="shared" si="65"/>
        <v>0</v>
      </c>
      <c r="G247" s="83">
        <f t="shared" si="65"/>
        <v>0</v>
      </c>
      <c r="H247" s="83">
        <f t="shared" si="65"/>
        <v>0</v>
      </c>
      <c r="I247" s="83">
        <f t="shared" si="65"/>
        <v>0</v>
      </c>
      <c r="J247" s="83">
        <f t="shared" si="65"/>
        <v>0</v>
      </c>
      <c r="K247" s="83">
        <f t="shared" si="65"/>
        <v>0</v>
      </c>
    </row>
    <row r="248" spans="1:12" x14ac:dyDescent="0.2">
      <c r="A248" s="75">
        <f>A218</f>
        <v>0</v>
      </c>
      <c r="B248" s="4">
        <f>B218</f>
        <v>0</v>
      </c>
      <c r="C248" s="4" t="e">
        <f t="shared" ref="C248:K248" si="66">C218</f>
        <v>#REF!</v>
      </c>
      <c r="D248" s="4">
        <f t="shared" si="66"/>
        <v>0</v>
      </c>
      <c r="E248" s="4" t="e">
        <f t="shared" si="66"/>
        <v>#REF!</v>
      </c>
      <c r="F248" s="4">
        <f t="shared" si="66"/>
        <v>0</v>
      </c>
      <c r="G248" s="4" t="e">
        <f t="shared" si="66"/>
        <v>#REF!</v>
      </c>
      <c r="H248" s="4">
        <f t="shared" si="66"/>
        <v>0</v>
      </c>
      <c r="I248" s="4" t="e">
        <f t="shared" si="66"/>
        <v>#REF!</v>
      </c>
      <c r="J248" s="4">
        <f t="shared" si="66"/>
        <v>0</v>
      </c>
      <c r="K248" s="4" t="e">
        <f t="shared" si="66"/>
        <v>#REF!</v>
      </c>
    </row>
    <row r="249" spans="1:12" x14ac:dyDescent="0.2">
      <c r="A249" s="75">
        <f t="shared" ref="A249:K271" si="67">A219</f>
        <v>0</v>
      </c>
      <c r="B249" s="4">
        <f t="shared" si="67"/>
        <v>0</v>
      </c>
      <c r="C249" s="4" t="e">
        <f t="shared" si="67"/>
        <v>#REF!</v>
      </c>
      <c r="D249" s="4">
        <f t="shared" si="67"/>
        <v>0</v>
      </c>
      <c r="E249" s="4" t="e">
        <f t="shared" si="67"/>
        <v>#REF!</v>
      </c>
      <c r="F249" s="4">
        <f t="shared" si="67"/>
        <v>0</v>
      </c>
      <c r="G249" s="4" t="e">
        <f t="shared" si="67"/>
        <v>#REF!</v>
      </c>
      <c r="H249" s="4">
        <f t="shared" si="67"/>
        <v>0</v>
      </c>
      <c r="I249" s="4" t="e">
        <f t="shared" si="67"/>
        <v>#REF!</v>
      </c>
      <c r="J249" s="4">
        <f t="shared" si="67"/>
        <v>0</v>
      </c>
      <c r="K249" s="4" t="e">
        <f t="shared" si="67"/>
        <v>#REF!</v>
      </c>
    </row>
    <row r="250" spans="1:12" x14ac:dyDescent="0.2">
      <c r="A250" s="75">
        <f t="shared" si="67"/>
        <v>0</v>
      </c>
      <c r="B250" s="4">
        <f t="shared" si="67"/>
        <v>0</v>
      </c>
      <c r="C250" s="4" t="e">
        <f t="shared" si="67"/>
        <v>#REF!</v>
      </c>
      <c r="D250" s="4">
        <f t="shared" si="67"/>
        <v>0</v>
      </c>
      <c r="E250" s="4" t="e">
        <f t="shared" si="67"/>
        <v>#REF!</v>
      </c>
      <c r="F250" s="4">
        <f t="shared" si="67"/>
        <v>0</v>
      </c>
      <c r="G250" s="4" t="e">
        <f t="shared" si="67"/>
        <v>#REF!</v>
      </c>
      <c r="H250" s="4">
        <f t="shared" si="67"/>
        <v>0</v>
      </c>
      <c r="I250" s="4" t="e">
        <f t="shared" si="67"/>
        <v>#REF!</v>
      </c>
      <c r="J250" s="4">
        <f t="shared" si="67"/>
        <v>0</v>
      </c>
      <c r="K250" s="4" t="e">
        <f t="shared" si="67"/>
        <v>#REF!</v>
      </c>
    </row>
    <row r="251" spans="1:12" x14ac:dyDescent="0.2">
      <c r="A251" s="75">
        <f t="shared" si="67"/>
        <v>0</v>
      </c>
      <c r="B251" s="4">
        <f t="shared" si="67"/>
        <v>0</v>
      </c>
      <c r="C251" s="4" t="e">
        <f t="shared" si="67"/>
        <v>#REF!</v>
      </c>
      <c r="D251" s="4">
        <f t="shared" si="67"/>
        <v>0</v>
      </c>
      <c r="E251" s="4" t="e">
        <f t="shared" si="67"/>
        <v>#REF!</v>
      </c>
      <c r="F251" s="4">
        <f t="shared" si="67"/>
        <v>0</v>
      </c>
      <c r="G251" s="4" t="e">
        <f t="shared" si="67"/>
        <v>#REF!</v>
      </c>
      <c r="H251" s="4">
        <f t="shared" si="67"/>
        <v>0</v>
      </c>
      <c r="I251" s="4" t="e">
        <f t="shared" si="67"/>
        <v>#REF!</v>
      </c>
      <c r="J251" s="4">
        <f t="shared" si="67"/>
        <v>0</v>
      </c>
      <c r="K251" s="4" t="e">
        <f t="shared" si="67"/>
        <v>#REF!</v>
      </c>
    </row>
    <row r="252" spans="1:12" x14ac:dyDescent="0.2">
      <c r="A252" s="75">
        <f t="shared" si="67"/>
        <v>0</v>
      </c>
      <c r="B252" s="4">
        <f t="shared" si="67"/>
        <v>0</v>
      </c>
      <c r="C252" s="4" t="e">
        <f t="shared" si="67"/>
        <v>#REF!</v>
      </c>
      <c r="D252" s="4">
        <f t="shared" si="67"/>
        <v>0</v>
      </c>
      <c r="E252" s="4" t="e">
        <f t="shared" si="67"/>
        <v>#REF!</v>
      </c>
      <c r="F252" s="4">
        <f t="shared" si="67"/>
        <v>0</v>
      </c>
      <c r="G252" s="4" t="e">
        <f t="shared" si="67"/>
        <v>#REF!</v>
      </c>
      <c r="H252" s="4">
        <f t="shared" si="67"/>
        <v>0</v>
      </c>
      <c r="I252" s="4" t="e">
        <f t="shared" si="67"/>
        <v>#REF!</v>
      </c>
      <c r="J252" s="4">
        <f t="shared" si="67"/>
        <v>0</v>
      </c>
      <c r="K252" s="4" t="e">
        <f t="shared" si="67"/>
        <v>#REF!</v>
      </c>
    </row>
    <row r="253" spans="1:12" x14ac:dyDescent="0.2">
      <c r="A253" s="75">
        <f t="shared" si="67"/>
        <v>0</v>
      </c>
      <c r="B253" s="4">
        <f t="shared" si="67"/>
        <v>0</v>
      </c>
      <c r="C253" s="4" t="e">
        <f t="shared" si="67"/>
        <v>#REF!</v>
      </c>
      <c r="D253" s="4">
        <f t="shared" si="67"/>
        <v>0</v>
      </c>
      <c r="E253" s="4" t="e">
        <f t="shared" si="67"/>
        <v>#REF!</v>
      </c>
      <c r="F253" s="4">
        <f t="shared" si="67"/>
        <v>0</v>
      </c>
      <c r="G253" s="4" t="e">
        <f t="shared" si="67"/>
        <v>#REF!</v>
      </c>
      <c r="H253" s="4">
        <f t="shared" si="67"/>
        <v>0</v>
      </c>
      <c r="I253" s="4" t="e">
        <f t="shared" si="67"/>
        <v>#REF!</v>
      </c>
      <c r="J253" s="4">
        <f t="shared" si="67"/>
        <v>0</v>
      </c>
      <c r="K253" s="4" t="e">
        <f t="shared" si="67"/>
        <v>#REF!</v>
      </c>
    </row>
    <row r="254" spans="1:12" x14ac:dyDescent="0.2">
      <c r="A254" s="75">
        <f t="shared" si="67"/>
        <v>0</v>
      </c>
      <c r="B254" s="4">
        <f t="shared" si="67"/>
        <v>0</v>
      </c>
      <c r="C254" s="4" t="e">
        <f t="shared" si="67"/>
        <v>#REF!</v>
      </c>
      <c r="D254" s="4">
        <f t="shared" si="67"/>
        <v>0</v>
      </c>
      <c r="E254" s="4" t="e">
        <f t="shared" si="67"/>
        <v>#REF!</v>
      </c>
      <c r="F254" s="4">
        <f t="shared" si="67"/>
        <v>0</v>
      </c>
      <c r="G254" s="4" t="e">
        <f t="shared" si="67"/>
        <v>#REF!</v>
      </c>
      <c r="H254" s="4">
        <f t="shared" si="67"/>
        <v>0</v>
      </c>
      <c r="I254" s="4" t="e">
        <f t="shared" si="67"/>
        <v>#REF!</v>
      </c>
      <c r="J254" s="4">
        <f t="shared" si="67"/>
        <v>0</v>
      </c>
      <c r="K254" s="4" t="e">
        <f t="shared" si="67"/>
        <v>#REF!</v>
      </c>
    </row>
    <row r="255" spans="1:12" x14ac:dyDescent="0.2">
      <c r="A255" s="75">
        <f t="shared" si="67"/>
        <v>0</v>
      </c>
      <c r="B255" s="4">
        <f t="shared" si="67"/>
        <v>0</v>
      </c>
      <c r="C255" s="4" t="e">
        <f t="shared" si="67"/>
        <v>#REF!</v>
      </c>
      <c r="D255" s="4">
        <f t="shared" si="67"/>
        <v>0</v>
      </c>
      <c r="E255" s="4" t="e">
        <f t="shared" si="67"/>
        <v>#REF!</v>
      </c>
      <c r="F255" s="4">
        <f t="shared" si="67"/>
        <v>0</v>
      </c>
      <c r="G255" s="4" t="e">
        <f t="shared" si="67"/>
        <v>#REF!</v>
      </c>
      <c r="H255" s="4">
        <f t="shared" si="67"/>
        <v>0</v>
      </c>
      <c r="I255" s="4" t="e">
        <f t="shared" si="67"/>
        <v>#REF!</v>
      </c>
      <c r="J255" s="4">
        <f t="shared" si="67"/>
        <v>0</v>
      </c>
      <c r="K255" s="4" t="e">
        <f t="shared" si="67"/>
        <v>#REF!</v>
      </c>
    </row>
    <row r="256" spans="1:12" x14ac:dyDescent="0.2">
      <c r="A256" s="75">
        <f t="shared" si="67"/>
        <v>0</v>
      </c>
      <c r="B256" s="4">
        <f t="shared" si="67"/>
        <v>0</v>
      </c>
      <c r="C256" s="4" t="e">
        <f t="shared" si="67"/>
        <v>#REF!</v>
      </c>
      <c r="D256" s="4">
        <f t="shared" si="67"/>
        <v>0</v>
      </c>
      <c r="E256" s="4" t="e">
        <f t="shared" si="67"/>
        <v>#REF!</v>
      </c>
      <c r="F256" s="4">
        <f t="shared" si="67"/>
        <v>0</v>
      </c>
      <c r="G256" s="4" t="e">
        <f t="shared" si="67"/>
        <v>#REF!</v>
      </c>
      <c r="H256" s="4">
        <f t="shared" si="67"/>
        <v>0</v>
      </c>
      <c r="I256" s="4" t="e">
        <f t="shared" si="67"/>
        <v>#REF!</v>
      </c>
      <c r="J256" s="4">
        <f t="shared" si="67"/>
        <v>0</v>
      </c>
      <c r="K256" s="4" t="e">
        <f t="shared" si="67"/>
        <v>#REF!</v>
      </c>
    </row>
    <row r="257" spans="1:11" x14ac:dyDescent="0.2">
      <c r="A257" s="75">
        <f t="shared" si="67"/>
        <v>0</v>
      </c>
      <c r="B257" s="4">
        <f t="shared" si="67"/>
        <v>0</v>
      </c>
      <c r="C257" s="4" t="e">
        <f t="shared" si="67"/>
        <v>#REF!</v>
      </c>
      <c r="D257" s="4">
        <f t="shared" si="67"/>
        <v>0</v>
      </c>
      <c r="E257" s="4" t="e">
        <f t="shared" si="67"/>
        <v>#REF!</v>
      </c>
      <c r="F257" s="4">
        <f t="shared" si="67"/>
        <v>0</v>
      </c>
      <c r="G257" s="4" t="e">
        <f t="shared" si="67"/>
        <v>#REF!</v>
      </c>
      <c r="H257" s="4">
        <f t="shared" si="67"/>
        <v>0</v>
      </c>
      <c r="I257" s="4" t="e">
        <f t="shared" si="67"/>
        <v>#REF!</v>
      </c>
      <c r="J257" s="4">
        <f t="shared" si="67"/>
        <v>0</v>
      </c>
      <c r="K257" s="4" t="e">
        <f t="shared" si="67"/>
        <v>#REF!</v>
      </c>
    </row>
    <row r="258" spans="1:11" x14ac:dyDescent="0.2">
      <c r="A258" s="75">
        <f t="shared" si="67"/>
        <v>0</v>
      </c>
      <c r="B258" s="4">
        <f t="shared" si="67"/>
        <v>0</v>
      </c>
      <c r="C258" s="4" t="e">
        <f t="shared" si="67"/>
        <v>#REF!</v>
      </c>
      <c r="D258" s="4">
        <f t="shared" si="67"/>
        <v>0</v>
      </c>
      <c r="E258" s="4" t="e">
        <f t="shared" si="67"/>
        <v>#REF!</v>
      </c>
      <c r="F258" s="4">
        <f t="shared" si="67"/>
        <v>0</v>
      </c>
      <c r="G258" s="4" t="e">
        <f t="shared" si="67"/>
        <v>#REF!</v>
      </c>
      <c r="H258" s="4">
        <f t="shared" si="67"/>
        <v>0</v>
      </c>
      <c r="I258" s="4" t="e">
        <f t="shared" si="67"/>
        <v>#REF!</v>
      </c>
      <c r="J258" s="4">
        <f t="shared" si="67"/>
        <v>0</v>
      </c>
      <c r="K258" s="4" t="e">
        <f t="shared" si="67"/>
        <v>#REF!</v>
      </c>
    </row>
    <row r="259" spans="1:11" x14ac:dyDescent="0.2">
      <c r="A259" s="75">
        <f t="shared" si="67"/>
        <v>0</v>
      </c>
      <c r="B259" s="4">
        <f t="shared" si="67"/>
        <v>0</v>
      </c>
      <c r="C259" s="4" t="e">
        <f t="shared" si="67"/>
        <v>#REF!</v>
      </c>
      <c r="D259" s="4">
        <f t="shared" si="67"/>
        <v>0</v>
      </c>
      <c r="E259" s="4" t="e">
        <f t="shared" si="67"/>
        <v>#REF!</v>
      </c>
      <c r="F259" s="4">
        <f t="shared" si="67"/>
        <v>0</v>
      </c>
      <c r="G259" s="4" t="e">
        <f t="shared" si="67"/>
        <v>#REF!</v>
      </c>
      <c r="H259" s="4">
        <f t="shared" si="67"/>
        <v>0</v>
      </c>
      <c r="I259" s="4" t="e">
        <f t="shared" si="67"/>
        <v>#REF!</v>
      </c>
      <c r="J259" s="4">
        <f t="shared" si="67"/>
        <v>0</v>
      </c>
      <c r="K259" s="4" t="e">
        <f t="shared" si="67"/>
        <v>#REF!</v>
      </c>
    </row>
    <row r="260" spans="1:11" x14ac:dyDescent="0.2">
      <c r="A260" s="75">
        <f t="shared" si="67"/>
        <v>0</v>
      </c>
      <c r="B260" s="4">
        <f t="shared" si="67"/>
        <v>0</v>
      </c>
      <c r="C260" s="4" t="e">
        <f t="shared" si="67"/>
        <v>#REF!</v>
      </c>
      <c r="D260" s="4">
        <f t="shared" si="67"/>
        <v>0</v>
      </c>
      <c r="E260" s="4" t="e">
        <f t="shared" si="67"/>
        <v>#REF!</v>
      </c>
      <c r="F260" s="4">
        <f t="shared" si="67"/>
        <v>0</v>
      </c>
      <c r="G260" s="4" t="e">
        <f t="shared" si="67"/>
        <v>#REF!</v>
      </c>
      <c r="H260" s="4">
        <f t="shared" si="67"/>
        <v>0</v>
      </c>
      <c r="I260" s="4" t="e">
        <f t="shared" si="67"/>
        <v>#REF!</v>
      </c>
      <c r="J260" s="4">
        <f t="shared" si="67"/>
        <v>0</v>
      </c>
      <c r="K260" s="4" t="e">
        <f t="shared" si="67"/>
        <v>#REF!</v>
      </c>
    </row>
    <row r="261" spans="1:11" x14ac:dyDescent="0.2">
      <c r="A261" s="75">
        <f t="shared" si="67"/>
        <v>0</v>
      </c>
      <c r="B261" s="4">
        <f t="shared" si="67"/>
        <v>0</v>
      </c>
      <c r="C261" s="4" t="e">
        <f t="shared" si="67"/>
        <v>#REF!</v>
      </c>
      <c r="D261" s="4">
        <f t="shared" si="67"/>
        <v>0</v>
      </c>
      <c r="E261" s="4" t="e">
        <f t="shared" si="67"/>
        <v>#REF!</v>
      </c>
      <c r="F261" s="4">
        <f t="shared" si="67"/>
        <v>0</v>
      </c>
      <c r="G261" s="4" t="e">
        <f t="shared" si="67"/>
        <v>#REF!</v>
      </c>
      <c r="H261" s="4">
        <f t="shared" si="67"/>
        <v>0</v>
      </c>
      <c r="I261" s="4" t="e">
        <f t="shared" si="67"/>
        <v>#REF!</v>
      </c>
      <c r="J261" s="4">
        <f t="shared" si="67"/>
        <v>0</v>
      </c>
      <c r="K261" s="4" t="e">
        <f t="shared" si="67"/>
        <v>#REF!</v>
      </c>
    </row>
    <row r="262" spans="1:11" x14ac:dyDescent="0.2">
      <c r="A262" s="75">
        <f t="shared" si="67"/>
        <v>0</v>
      </c>
      <c r="B262" s="4">
        <f t="shared" si="67"/>
        <v>0</v>
      </c>
      <c r="C262" s="4" t="e">
        <f t="shared" si="67"/>
        <v>#REF!</v>
      </c>
      <c r="D262" s="4">
        <f t="shared" si="67"/>
        <v>0</v>
      </c>
      <c r="E262" s="4" t="e">
        <f t="shared" si="67"/>
        <v>#REF!</v>
      </c>
      <c r="F262" s="4">
        <f t="shared" si="67"/>
        <v>0</v>
      </c>
      <c r="G262" s="4" t="e">
        <f t="shared" si="67"/>
        <v>#REF!</v>
      </c>
      <c r="H262" s="4">
        <f t="shared" si="67"/>
        <v>0</v>
      </c>
      <c r="I262" s="4" t="e">
        <f t="shared" si="67"/>
        <v>#REF!</v>
      </c>
      <c r="J262" s="4">
        <f t="shared" si="67"/>
        <v>0</v>
      </c>
      <c r="K262" s="4" t="e">
        <f t="shared" si="67"/>
        <v>#REF!</v>
      </c>
    </row>
    <row r="263" spans="1:11" x14ac:dyDescent="0.2">
      <c r="A263" s="75">
        <f t="shared" si="67"/>
        <v>0</v>
      </c>
      <c r="B263" s="4">
        <f t="shared" si="67"/>
        <v>0</v>
      </c>
      <c r="C263" s="4" t="e">
        <f t="shared" si="67"/>
        <v>#REF!</v>
      </c>
      <c r="D263" s="4">
        <f t="shared" si="67"/>
        <v>0</v>
      </c>
      <c r="E263" s="4" t="e">
        <f t="shared" si="67"/>
        <v>#REF!</v>
      </c>
      <c r="F263" s="4">
        <f t="shared" si="67"/>
        <v>0</v>
      </c>
      <c r="G263" s="4" t="e">
        <f t="shared" si="67"/>
        <v>#REF!</v>
      </c>
      <c r="H263" s="4">
        <f t="shared" si="67"/>
        <v>0</v>
      </c>
      <c r="I263" s="4" t="e">
        <f t="shared" si="67"/>
        <v>#REF!</v>
      </c>
      <c r="J263" s="4">
        <f t="shared" si="67"/>
        <v>0</v>
      </c>
      <c r="K263" s="4" t="e">
        <f t="shared" si="67"/>
        <v>#REF!</v>
      </c>
    </row>
    <row r="264" spans="1:11" x14ac:dyDescent="0.2">
      <c r="A264" s="75">
        <f t="shared" si="67"/>
        <v>0</v>
      </c>
      <c r="B264" s="4">
        <f t="shared" si="67"/>
        <v>0</v>
      </c>
      <c r="C264" s="4" t="e">
        <f t="shared" si="67"/>
        <v>#REF!</v>
      </c>
      <c r="D264" s="4">
        <f t="shared" si="67"/>
        <v>0</v>
      </c>
      <c r="E264" s="4" t="e">
        <f t="shared" si="67"/>
        <v>#REF!</v>
      </c>
      <c r="F264" s="4">
        <f t="shared" si="67"/>
        <v>0</v>
      </c>
      <c r="G264" s="4" t="e">
        <f t="shared" si="67"/>
        <v>#REF!</v>
      </c>
      <c r="H264" s="4">
        <f t="shared" si="67"/>
        <v>0</v>
      </c>
      <c r="I264" s="4" t="e">
        <f t="shared" si="67"/>
        <v>#REF!</v>
      </c>
      <c r="J264" s="4">
        <f t="shared" si="67"/>
        <v>0</v>
      </c>
      <c r="K264" s="4" t="e">
        <f t="shared" si="67"/>
        <v>#REF!</v>
      </c>
    </row>
    <row r="265" spans="1:11" x14ac:dyDescent="0.2">
      <c r="A265" s="75">
        <f t="shared" si="67"/>
        <v>0</v>
      </c>
      <c r="B265" s="4">
        <f t="shared" si="67"/>
        <v>0</v>
      </c>
      <c r="C265" s="4" t="e">
        <f t="shared" si="67"/>
        <v>#REF!</v>
      </c>
      <c r="D265" s="4">
        <f t="shared" si="67"/>
        <v>0</v>
      </c>
      <c r="E265" s="4" t="e">
        <f t="shared" si="67"/>
        <v>#REF!</v>
      </c>
      <c r="F265" s="4">
        <f t="shared" si="67"/>
        <v>0</v>
      </c>
      <c r="G265" s="4" t="e">
        <f t="shared" si="67"/>
        <v>#REF!</v>
      </c>
      <c r="H265" s="4">
        <f t="shared" si="67"/>
        <v>0</v>
      </c>
      <c r="I265" s="4" t="e">
        <f t="shared" si="67"/>
        <v>#REF!</v>
      </c>
      <c r="J265" s="4">
        <f t="shared" si="67"/>
        <v>0</v>
      </c>
      <c r="K265" s="4" t="e">
        <f t="shared" si="67"/>
        <v>#REF!</v>
      </c>
    </row>
    <row r="266" spans="1:11" x14ac:dyDescent="0.2">
      <c r="A266" s="75">
        <f t="shared" si="67"/>
        <v>0</v>
      </c>
      <c r="B266" s="4">
        <f t="shared" si="67"/>
        <v>0</v>
      </c>
      <c r="C266" s="4" t="e">
        <f t="shared" si="67"/>
        <v>#REF!</v>
      </c>
      <c r="D266" s="4">
        <f t="shared" si="67"/>
        <v>0</v>
      </c>
      <c r="E266" s="4" t="e">
        <f t="shared" si="67"/>
        <v>#REF!</v>
      </c>
      <c r="F266" s="4">
        <f t="shared" si="67"/>
        <v>0</v>
      </c>
      <c r="G266" s="4" t="e">
        <f t="shared" si="67"/>
        <v>#REF!</v>
      </c>
      <c r="H266" s="4">
        <f t="shared" si="67"/>
        <v>0</v>
      </c>
      <c r="I266" s="4" t="e">
        <f t="shared" si="67"/>
        <v>#REF!</v>
      </c>
      <c r="J266" s="4">
        <f t="shared" si="67"/>
        <v>0</v>
      </c>
      <c r="K266" s="4" t="e">
        <f t="shared" si="67"/>
        <v>#REF!</v>
      </c>
    </row>
    <row r="267" spans="1:11" x14ac:dyDescent="0.2">
      <c r="A267" s="75">
        <f t="shared" si="67"/>
        <v>0</v>
      </c>
      <c r="B267" s="4">
        <f t="shared" si="67"/>
        <v>0</v>
      </c>
      <c r="C267" s="4" t="e">
        <f t="shared" si="67"/>
        <v>#REF!</v>
      </c>
      <c r="D267" s="4">
        <f t="shared" si="67"/>
        <v>0</v>
      </c>
      <c r="E267" s="4" t="e">
        <f t="shared" si="67"/>
        <v>#REF!</v>
      </c>
      <c r="F267" s="4">
        <f t="shared" si="67"/>
        <v>0</v>
      </c>
      <c r="G267" s="4" t="e">
        <f t="shared" si="67"/>
        <v>#REF!</v>
      </c>
      <c r="H267" s="4">
        <f t="shared" si="67"/>
        <v>0</v>
      </c>
      <c r="I267" s="4" t="e">
        <f t="shared" si="67"/>
        <v>#REF!</v>
      </c>
      <c r="J267" s="4">
        <f t="shared" si="67"/>
        <v>0</v>
      </c>
      <c r="K267" s="4" t="e">
        <f t="shared" si="67"/>
        <v>#REF!</v>
      </c>
    </row>
    <row r="268" spans="1:11" x14ac:dyDescent="0.2">
      <c r="A268" s="75">
        <f t="shared" si="67"/>
        <v>0</v>
      </c>
      <c r="B268" s="4">
        <f t="shared" si="67"/>
        <v>0</v>
      </c>
      <c r="C268" s="4" t="e">
        <f t="shared" si="67"/>
        <v>#REF!</v>
      </c>
      <c r="D268" s="4">
        <f t="shared" si="67"/>
        <v>0</v>
      </c>
      <c r="E268" s="4" t="e">
        <f t="shared" si="67"/>
        <v>#REF!</v>
      </c>
      <c r="F268" s="4">
        <f t="shared" si="67"/>
        <v>0</v>
      </c>
      <c r="G268" s="4" t="e">
        <f t="shared" si="67"/>
        <v>#REF!</v>
      </c>
      <c r="H268" s="4">
        <f t="shared" si="67"/>
        <v>0</v>
      </c>
      <c r="I268" s="4" t="e">
        <f t="shared" si="67"/>
        <v>#REF!</v>
      </c>
      <c r="J268" s="4">
        <f t="shared" si="67"/>
        <v>0</v>
      </c>
      <c r="K268" s="4" t="e">
        <f t="shared" si="67"/>
        <v>#REF!</v>
      </c>
    </row>
    <row r="269" spans="1:11" x14ac:dyDescent="0.2">
      <c r="A269" s="75">
        <f t="shared" si="67"/>
        <v>0</v>
      </c>
      <c r="B269" s="4">
        <f t="shared" si="67"/>
        <v>0</v>
      </c>
      <c r="C269" s="4" t="e">
        <f t="shared" si="67"/>
        <v>#REF!</v>
      </c>
      <c r="D269" s="4">
        <f t="shared" si="67"/>
        <v>0</v>
      </c>
      <c r="E269" s="4" t="e">
        <f t="shared" si="67"/>
        <v>#REF!</v>
      </c>
      <c r="F269" s="4">
        <f t="shared" si="67"/>
        <v>0</v>
      </c>
      <c r="G269" s="4" t="e">
        <f t="shared" si="67"/>
        <v>#REF!</v>
      </c>
      <c r="H269" s="4">
        <f t="shared" si="67"/>
        <v>0</v>
      </c>
      <c r="I269" s="4" t="e">
        <f t="shared" si="67"/>
        <v>#REF!</v>
      </c>
      <c r="J269" s="4">
        <f t="shared" si="67"/>
        <v>0</v>
      </c>
      <c r="K269" s="4" t="e">
        <f t="shared" ref="K269" si="68">K239</f>
        <v>#REF!</v>
      </c>
    </row>
    <row r="270" spans="1:11" x14ac:dyDescent="0.2">
      <c r="A270" s="75">
        <f t="shared" si="67"/>
        <v>0</v>
      </c>
      <c r="B270" s="4">
        <f t="shared" ref="B270:K270" si="69">B240</f>
        <v>0</v>
      </c>
      <c r="C270" s="4" t="e">
        <f t="shared" si="69"/>
        <v>#REF!</v>
      </c>
      <c r="D270" s="4">
        <f t="shared" si="69"/>
        <v>0</v>
      </c>
      <c r="E270" s="4" t="e">
        <f t="shared" si="69"/>
        <v>#REF!</v>
      </c>
      <c r="F270" s="4">
        <f t="shared" si="69"/>
        <v>0</v>
      </c>
      <c r="G270" s="4" t="e">
        <f t="shared" si="69"/>
        <v>#REF!</v>
      </c>
      <c r="H270" s="4">
        <f t="shared" si="69"/>
        <v>0</v>
      </c>
      <c r="I270" s="4" t="e">
        <f t="shared" si="69"/>
        <v>#REF!</v>
      </c>
      <c r="J270" s="4">
        <f t="shared" si="69"/>
        <v>0</v>
      </c>
      <c r="K270" s="4" t="e">
        <f t="shared" si="69"/>
        <v>#REF!</v>
      </c>
    </row>
    <row r="271" spans="1:11" x14ac:dyDescent="0.2">
      <c r="A271" s="79">
        <f t="shared" si="67"/>
        <v>0</v>
      </c>
      <c r="B271" s="4">
        <f t="shared" ref="B271:K271" si="70">B241</f>
        <v>0</v>
      </c>
      <c r="C271" s="4" t="e">
        <f t="shared" si="70"/>
        <v>#REF!</v>
      </c>
      <c r="D271" s="4">
        <f t="shared" si="70"/>
        <v>0</v>
      </c>
      <c r="E271" s="4" t="e">
        <f t="shared" si="70"/>
        <v>#REF!</v>
      </c>
      <c r="F271" s="4">
        <f t="shared" si="70"/>
        <v>0</v>
      </c>
      <c r="G271" s="4" t="e">
        <f t="shared" si="70"/>
        <v>#REF!</v>
      </c>
      <c r="H271" s="4">
        <f t="shared" si="70"/>
        <v>0</v>
      </c>
      <c r="I271" s="4" t="e">
        <f t="shared" si="70"/>
        <v>#REF!</v>
      </c>
      <c r="J271" s="4">
        <f t="shared" si="70"/>
        <v>0</v>
      </c>
      <c r="K271" s="4" t="e">
        <f t="shared" si="70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>
        <f>A248</f>
        <v>0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>
        <f>IF(F$247=G$247,F$247*100,IF(G248=0,F$247*100&amp;"/0",IF(F248=0,"0/"&amp;G$247*100,F$247*100&amp;"/"&amp;G$247*100)))</f>
        <v>0</v>
      </c>
      <c r="G275" s="306"/>
      <c r="H275" s="305">
        <f>IF(H$247=I$247,H$247*100,IF(I248=0,H$247*100&amp;"/0",IF(H248=0,"0/"&amp;I$247*100,H$247*100&amp;"/"&amp;I$247*100)))</f>
        <v>0</v>
      </c>
      <c r="I275" s="306"/>
      <c r="J275" s="303">
        <f>IF($G$5="","",IF(J$247=K$247,J$247*100,IF(K248=0,J$247*100&amp;"/0",IF(J248=0,"0/"&amp;K$247*100,J$247*100&amp;"/"&amp;K$247*100))))</f>
        <v>0</v>
      </c>
      <c r="K275" s="304"/>
    </row>
    <row r="276" spans="1:11" x14ac:dyDescent="0.2">
      <c r="A276" s="82">
        <f t="shared" ref="A276:A298" si="71">A249</f>
        <v>0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72">IF(D$247=E$247,D$247*100,IF(E249=0,D$247*100&amp;"/0",IF(D249=0,"0/"&amp;E$247*100,D$247*100&amp;"/"&amp;E$247*100)))</f>
        <v>#REF!</v>
      </c>
      <c r="E276" s="306"/>
      <c r="F276" s="305">
        <f t="shared" ref="F276:F298" si="73">IF(F$247=G$247,F$247*100,IF(G249=0,F$247*100&amp;"/0",IF(F249=0,"0/"&amp;G$247*100,F$247*100&amp;"/"&amp;G$247*100)))</f>
        <v>0</v>
      </c>
      <c r="G276" s="306"/>
      <c r="H276" s="305">
        <f t="shared" ref="H276:H298" si="74">IF(H$247=I$247,H$247*100,IF(I249=0,H$247*100&amp;"/0",IF(H249=0,"0/"&amp;I$247*100,H$247*100&amp;"/"&amp;I$247*100)))</f>
        <v>0</v>
      </c>
      <c r="I276" s="306"/>
      <c r="J276" s="303">
        <f t="shared" ref="J276:J298" si="75">IF($G$5="","",IF(J$247=K$247,J$247*100,IF(K249=0,J$247*100&amp;"/0",IF(J249=0,"0/"&amp;K$247*100,J$247*100&amp;"/"&amp;K$247*100))))</f>
        <v>0</v>
      </c>
      <c r="K276" s="304"/>
    </row>
    <row r="277" spans="1:11" x14ac:dyDescent="0.2">
      <c r="A277" s="82">
        <f t="shared" si="71"/>
        <v>0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72"/>
        <v>#REF!</v>
      </c>
      <c r="E277" s="306"/>
      <c r="F277" s="305">
        <f t="shared" si="73"/>
        <v>0</v>
      </c>
      <c r="G277" s="306"/>
      <c r="H277" s="305">
        <f t="shared" si="74"/>
        <v>0</v>
      </c>
      <c r="I277" s="306"/>
      <c r="J277" s="303">
        <f t="shared" si="75"/>
        <v>0</v>
      </c>
      <c r="K277" s="304"/>
    </row>
    <row r="278" spans="1:11" x14ac:dyDescent="0.2">
      <c r="A278" s="82">
        <f t="shared" si="71"/>
        <v>0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72"/>
        <v>#REF!</v>
      </c>
      <c r="E278" s="306"/>
      <c r="F278" s="305">
        <f t="shared" si="73"/>
        <v>0</v>
      </c>
      <c r="G278" s="306"/>
      <c r="H278" s="305">
        <f t="shared" si="74"/>
        <v>0</v>
      </c>
      <c r="I278" s="306"/>
      <c r="J278" s="303">
        <f t="shared" si="75"/>
        <v>0</v>
      </c>
      <c r="K278" s="304"/>
    </row>
    <row r="279" spans="1:11" x14ac:dyDescent="0.2">
      <c r="A279" s="82">
        <f t="shared" si="71"/>
        <v>0</v>
      </c>
      <c r="B279" s="303" t="e">
        <f t="shared" ref="B279:B298" si="76">IF(B$247=C$247,B$247*100,IF(C252=0,B$247*100&amp;"/0",IF(B252=0,"0/"&amp;C$247*100,B$247*100&amp;"/"&amp;C$247*100)))</f>
        <v>#REF!</v>
      </c>
      <c r="C279" s="304"/>
      <c r="D279" s="305" t="e">
        <f t="shared" si="72"/>
        <v>#REF!</v>
      </c>
      <c r="E279" s="306"/>
      <c r="F279" s="305">
        <f t="shared" si="73"/>
        <v>0</v>
      </c>
      <c r="G279" s="306"/>
      <c r="H279" s="305">
        <f t="shared" si="74"/>
        <v>0</v>
      </c>
      <c r="I279" s="306"/>
      <c r="J279" s="303">
        <f t="shared" si="75"/>
        <v>0</v>
      </c>
      <c r="K279" s="304"/>
    </row>
    <row r="280" spans="1:11" x14ac:dyDescent="0.2">
      <c r="A280" s="82">
        <f t="shared" si="71"/>
        <v>0</v>
      </c>
      <c r="B280" s="303" t="e">
        <f t="shared" si="76"/>
        <v>#REF!</v>
      </c>
      <c r="C280" s="304"/>
      <c r="D280" s="305" t="e">
        <f t="shared" si="72"/>
        <v>#REF!</v>
      </c>
      <c r="E280" s="306"/>
      <c r="F280" s="305">
        <f t="shared" si="73"/>
        <v>0</v>
      </c>
      <c r="G280" s="306"/>
      <c r="H280" s="305">
        <f t="shared" si="74"/>
        <v>0</v>
      </c>
      <c r="I280" s="306"/>
      <c r="J280" s="303">
        <f t="shared" si="75"/>
        <v>0</v>
      </c>
      <c r="K280" s="304"/>
    </row>
    <row r="281" spans="1:11" x14ac:dyDescent="0.2">
      <c r="A281" s="82">
        <f t="shared" si="71"/>
        <v>0</v>
      </c>
      <c r="B281" s="303" t="e">
        <f t="shared" si="76"/>
        <v>#REF!</v>
      </c>
      <c r="C281" s="304"/>
      <c r="D281" s="305" t="e">
        <f t="shared" si="72"/>
        <v>#REF!</v>
      </c>
      <c r="E281" s="306"/>
      <c r="F281" s="305">
        <f t="shared" si="73"/>
        <v>0</v>
      </c>
      <c r="G281" s="306"/>
      <c r="H281" s="305">
        <f t="shared" si="74"/>
        <v>0</v>
      </c>
      <c r="I281" s="306"/>
      <c r="J281" s="303">
        <f t="shared" si="75"/>
        <v>0</v>
      </c>
      <c r="K281" s="304"/>
    </row>
    <row r="282" spans="1:11" x14ac:dyDescent="0.2">
      <c r="A282" s="82">
        <f t="shared" si="71"/>
        <v>0</v>
      </c>
      <c r="B282" s="303" t="e">
        <f t="shared" si="76"/>
        <v>#REF!</v>
      </c>
      <c r="C282" s="304"/>
      <c r="D282" s="305" t="e">
        <f t="shared" si="72"/>
        <v>#REF!</v>
      </c>
      <c r="E282" s="306"/>
      <c r="F282" s="305">
        <f t="shared" si="73"/>
        <v>0</v>
      </c>
      <c r="G282" s="306"/>
      <c r="H282" s="305">
        <f t="shared" si="74"/>
        <v>0</v>
      </c>
      <c r="I282" s="306"/>
      <c r="J282" s="303">
        <f t="shared" si="75"/>
        <v>0</v>
      </c>
      <c r="K282" s="304"/>
    </row>
    <row r="283" spans="1:11" x14ac:dyDescent="0.2">
      <c r="A283" s="82">
        <f t="shared" si="71"/>
        <v>0</v>
      </c>
      <c r="B283" s="303" t="e">
        <f t="shared" si="76"/>
        <v>#REF!</v>
      </c>
      <c r="C283" s="304"/>
      <c r="D283" s="305" t="e">
        <f t="shared" si="72"/>
        <v>#REF!</v>
      </c>
      <c r="E283" s="306"/>
      <c r="F283" s="305">
        <f t="shared" si="73"/>
        <v>0</v>
      </c>
      <c r="G283" s="306"/>
      <c r="H283" s="305">
        <f t="shared" si="74"/>
        <v>0</v>
      </c>
      <c r="I283" s="306"/>
      <c r="J283" s="303">
        <f t="shared" si="75"/>
        <v>0</v>
      </c>
      <c r="K283" s="304"/>
    </row>
    <row r="284" spans="1:11" x14ac:dyDescent="0.2">
      <c r="A284" s="82">
        <f t="shared" si="71"/>
        <v>0</v>
      </c>
      <c r="B284" s="303" t="e">
        <f t="shared" si="76"/>
        <v>#REF!</v>
      </c>
      <c r="C284" s="304"/>
      <c r="D284" s="305" t="e">
        <f t="shared" si="72"/>
        <v>#REF!</v>
      </c>
      <c r="E284" s="306"/>
      <c r="F284" s="305">
        <f t="shared" si="73"/>
        <v>0</v>
      </c>
      <c r="G284" s="306"/>
      <c r="H284" s="305">
        <f t="shared" si="74"/>
        <v>0</v>
      </c>
      <c r="I284" s="306"/>
      <c r="J284" s="303">
        <f t="shared" si="75"/>
        <v>0</v>
      </c>
      <c r="K284" s="304"/>
    </row>
    <row r="285" spans="1:11" x14ac:dyDescent="0.2">
      <c r="A285" s="82">
        <f t="shared" si="71"/>
        <v>0</v>
      </c>
      <c r="B285" s="303" t="e">
        <f t="shared" si="76"/>
        <v>#REF!</v>
      </c>
      <c r="C285" s="304"/>
      <c r="D285" s="305" t="e">
        <f t="shared" si="72"/>
        <v>#REF!</v>
      </c>
      <c r="E285" s="306"/>
      <c r="F285" s="305">
        <f t="shared" si="73"/>
        <v>0</v>
      </c>
      <c r="G285" s="306"/>
      <c r="H285" s="305">
        <f t="shared" si="74"/>
        <v>0</v>
      </c>
      <c r="I285" s="306"/>
      <c r="J285" s="303">
        <f t="shared" si="75"/>
        <v>0</v>
      </c>
      <c r="K285" s="304"/>
    </row>
    <row r="286" spans="1:11" x14ac:dyDescent="0.2">
      <c r="A286" s="82">
        <f t="shared" si="71"/>
        <v>0</v>
      </c>
      <c r="B286" s="303" t="e">
        <f t="shared" si="76"/>
        <v>#REF!</v>
      </c>
      <c r="C286" s="304"/>
      <c r="D286" s="305" t="e">
        <f t="shared" si="72"/>
        <v>#REF!</v>
      </c>
      <c r="E286" s="306"/>
      <c r="F286" s="305">
        <f t="shared" si="73"/>
        <v>0</v>
      </c>
      <c r="G286" s="306"/>
      <c r="H286" s="305">
        <f t="shared" si="74"/>
        <v>0</v>
      </c>
      <c r="I286" s="306"/>
      <c r="J286" s="303">
        <f t="shared" si="75"/>
        <v>0</v>
      </c>
      <c r="K286" s="304"/>
    </row>
    <row r="287" spans="1:11" x14ac:dyDescent="0.2">
      <c r="A287" s="82">
        <f t="shared" si="71"/>
        <v>0</v>
      </c>
      <c r="B287" s="303" t="e">
        <f t="shared" si="76"/>
        <v>#REF!</v>
      </c>
      <c r="C287" s="304"/>
      <c r="D287" s="305" t="e">
        <f t="shared" si="72"/>
        <v>#REF!</v>
      </c>
      <c r="E287" s="306"/>
      <c r="F287" s="305">
        <f t="shared" si="73"/>
        <v>0</v>
      </c>
      <c r="G287" s="306"/>
      <c r="H287" s="305">
        <f t="shared" si="74"/>
        <v>0</v>
      </c>
      <c r="I287" s="306"/>
      <c r="J287" s="303">
        <f t="shared" si="75"/>
        <v>0</v>
      </c>
      <c r="K287" s="304"/>
    </row>
    <row r="288" spans="1:11" x14ac:dyDescent="0.2">
      <c r="A288" s="82">
        <f t="shared" si="71"/>
        <v>0</v>
      </c>
      <c r="B288" s="303" t="e">
        <f t="shared" si="76"/>
        <v>#REF!</v>
      </c>
      <c r="C288" s="304"/>
      <c r="D288" s="305" t="e">
        <f t="shared" si="72"/>
        <v>#REF!</v>
      </c>
      <c r="E288" s="306"/>
      <c r="F288" s="305">
        <f t="shared" si="73"/>
        <v>0</v>
      </c>
      <c r="G288" s="306"/>
      <c r="H288" s="305">
        <f t="shared" si="74"/>
        <v>0</v>
      </c>
      <c r="I288" s="306"/>
      <c r="J288" s="303">
        <f t="shared" si="75"/>
        <v>0</v>
      </c>
      <c r="K288" s="304"/>
    </row>
    <row r="289" spans="1:11" x14ac:dyDescent="0.2">
      <c r="A289" s="82">
        <f t="shared" si="71"/>
        <v>0</v>
      </c>
      <c r="B289" s="303" t="e">
        <f t="shared" si="76"/>
        <v>#REF!</v>
      </c>
      <c r="C289" s="304"/>
      <c r="D289" s="305" t="e">
        <f t="shared" si="72"/>
        <v>#REF!</v>
      </c>
      <c r="E289" s="306"/>
      <c r="F289" s="305">
        <f t="shared" si="73"/>
        <v>0</v>
      </c>
      <c r="G289" s="306"/>
      <c r="H289" s="305">
        <f t="shared" si="74"/>
        <v>0</v>
      </c>
      <c r="I289" s="306"/>
      <c r="J289" s="303">
        <f t="shared" si="75"/>
        <v>0</v>
      </c>
      <c r="K289" s="304"/>
    </row>
    <row r="290" spans="1:11" x14ac:dyDescent="0.2">
      <c r="A290" s="82">
        <f t="shared" si="71"/>
        <v>0</v>
      </c>
      <c r="B290" s="303" t="e">
        <f t="shared" si="76"/>
        <v>#REF!</v>
      </c>
      <c r="C290" s="304"/>
      <c r="D290" s="305" t="e">
        <f t="shared" si="72"/>
        <v>#REF!</v>
      </c>
      <c r="E290" s="306"/>
      <c r="F290" s="305">
        <f t="shared" si="73"/>
        <v>0</v>
      </c>
      <c r="G290" s="306"/>
      <c r="H290" s="305">
        <f t="shared" si="74"/>
        <v>0</v>
      </c>
      <c r="I290" s="306"/>
      <c r="J290" s="303">
        <f t="shared" si="75"/>
        <v>0</v>
      </c>
      <c r="K290" s="304"/>
    </row>
    <row r="291" spans="1:11" x14ac:dyDescent="0.2">
      <c r="A291" s="82">
        <f t="shared" si="71"/>
        <v>0</v>
      </c>
      <c r="B291" s="303" t="e">
        <f t="shared" si="76"/>
        <v>#REF!</v>
      </c>
      <c r="C291" s="304"/>
      <c r="D291" s="305" t="e">
        <f t="shared" si="72"/>
        <v>#REF!</v>
      </c>
      <c r="E291" s="306"/>
      <c r="F291" s="305">
        <f t="shared" si="73"/>
        <v>0</v>
      </c>
      <c r="G291" s="306"/>
      <c r="H291" s="305">
        <f t="shared" si="74"/>
        <v>0</v>
      </c>
      <c r="I291" s="306"/>
      <c r="J291" s="303">
        <f t="shared" si="75"/>
        <v>0</v>
      </c>
      <c r="K291" s="304"/>
    </row>
    <row r="292" spans="1:11" x14ac:dyDescent="0.2">
      <c r="A292" s="82">
        <f t="shared" si="71"/>
        <v>0</v>
      </c>
      <c r="B292" s="303" t="e">
        <f t="shared" si="76"/>
        <v>#REF!</v>
      </c>
      <c r="C292" s="304"/>
      <c r="D292" s="305" t="e">
        <f t="shared" si="72"/>
        <v>#REF!</v>
      </c>
      <c r="E292" s="306"/>
      <c r="F292" s="305">
        <f t="shared" si="73"/>
        <v>0</v>
      </c>
      <c r="G292" s="306"/>
      <c r="H292" s="305">
        <f t="shared" si="74"/>
        <v>0</v>
      </c>
      <c r="I292" s="306"/>
      <c r="J292" s="303">
        <f t="shared" si="75"/>
        <v>0</v>
      </c>
      <c r="K292" s="304"/>
    </row>
    <row r="293" spans="1:11" x14ac:dyDescent="0.2">
      <c r="A293" s="82">
        <f t="shared" si="71"/>
        <v>0</v>
      </c>
      <c r="B293" s="303" t="e">
        <f t="shared" si="76"/>
        <v>#REF!</v>
      </c>
      <c r="C293" s="304"/>
      <c r="D293" s="305" t="e">
        <f t="shared" si="72"/>
        <v>#REF!</v>
      </c>
      <c r="E293" s="306"/>
      <c r="F293" s="305">
        <f t="shared" si="73"/>
        <v>0</v>
      </c>
      <c r="G293" s="306"/>
      <c r="H293" s="305">
        <f t="shared" si="74"/>
        <v>0</v>
      </c>
      <c r="I293" s="306"/>
      <c r="J293" s="303">
        <f t="shared" si="75"/>
        <v>0</v>
      </c>
      <c r="K293" s="304"/>
    </row>
    <row r="294" spans="1:11" x14ac:dyDescent="0.2">
      <c r="A294" s="82">
        <f t="shared" si="71"/>
        <v>0</v>
      </c>
      <c r="B294" s="303" t="e">
        <f t="shared" si="76"/>
        <v>#REF!</v>
      </c>
      <c r="C294" s="304"/>
      <c r="D294" s="305" t="e">
        <f t="shared" si="72"/>
        <v>#REF!</v>
      </c>
      <c r="E294" s="306"/>
      <c r="F294" s="305">
        <f t="shared" si="73"/>
        <v>0</v>
      </c>
      <c r="G294" s="306"/>
      <c r="H294" s="305">
        <f t="shared" si="74"/>
        <v>0</v>
      </c>
      <c r="I294" s="306"/>
      <c r="J294" s="303">
        <f t="shared" si="75"/>
        <v>0</v>
      </c>
      <c r="K294" s="304"/>
    </row>
    <row r="295" spans="1:11" x14ac:dyDescent="0.2">
      <c r="A295" s="82">
        <f t="shared" si="71"/>
        <v>0</v>
      </c>
      <c r="B295" s="303" t="e">
        <f t="shared" si="76"/>
        <v>#REF!</v>
      </c>
      <c r="C295" s="304"/>
      <c r="D295" s="305" t="e">
        <f t="shared" si="72"/>
        <v>#REF!</v>
      </c>
      <c r="E295" s="306"/>
      <c r="F295" s="305">
        <f t="shared" si="73"/>
        <v>0</v>
      </c>
      <c r="G295" s="306"/>
      <c r="H295" s="305">
        <f t="shared" si="74"/>
        <v>0</v>
      </c>
      <c r="I295" s="306"/>
      <c r="J295" s="303">
        <f t="shared" si="75"/>
        <v>0</v>
      </c>
      <c r="K295" s="304"/>
    </row>
    <row r="296" spans="1:11" x14ac:dyDescent="0.2">
      <c r="A296" s="82">
        <f t="shared" si="71"/>
        <v>0</v>
      </c>
      <c r="B296" s="303" t="e">
        <f t="shared" si="76"/>
        <v>#REF!</v>
      </c>
      <c r="C296" s="304"/>
      <c r="D296" s="305" t="e">
        <f t="shared" si="72"/>
        <v>#REF!</v>
      </c>
      <c r="E296" s="306"/>
      <c r="F296" s="305">
        <f t="shared" si="73"/>
        <v>0</v>
      </c>
      <c r="G296" s="306"/>
      <c r="H296" s="305">
        <f t="shared" si="74"/>
        <v>0</v>
      </c>
      <c r="I296" s="306"/>
      <c r="J296" s="303">
        <f t="shared" si="75"/>
        <v>0</v>
      </c>
      <c r="K296" s="304"/>
    </row>
    <row r="297" spans="1:11" x14ac:dyDescent="0.2">
      <c r="A297" s="82">
        <f t="shared" si="71"/>
        <v>0</v>
      </c>
      <c r="B297" s="303" t="e">
        <f t="shared" si="76"/>
        <v>#REF!</v>
      </c>
      <c r="C297" s="304"/>
      <c r="D297" s="305" t="e">
        <f t="shared" si="72"/>
        <v>#REF!</v>
      </c>
      <c r="E297" s="306"/>
      <c r="F297" s="305">
        <f t="shared" si="73"/>
        <v>0</v>
      </c>
      <c r="G297" s="306"/>
      <c r="H297" s="305">
        <f t="shared" si="74"/>
        <v>0</v>
      </c>
      <c r="I297" s="306"/>
      <c r="J297" s="303">
        <f t="shared" si="75"/>
        <v>0</v>
      </c>
      <c r="K297" s="304"/>
    </row>
    <row r="298" spans="1:11" x14ac:dyDescent="0.2">
      <c r="A298" s="82">
        <f t="shared" si="71"/>
        <v>0</v>
      </c>
      <c r="B298" s="303" t="e">
        <f t="shared" si="76"/>
        <v>#REF!</v>
      </c>
      <c r="C298" s="304"/>
      <c r="D298" s="305" t="e">
        <f t="shared" si="72"/>
        <v>#REF!</v>
      </c>
      <c r="E298" s="306"/>
      <c r="F298" s="305">
        <f t="shared" si="73"/>
        <v>0</v>
      </c>
      <c r="G298" s="306"/>
      <c r="H298" s="305">
        <f t="shared" si="74"/>
        <v>0</v>
      </c>
      <c r="I298" s="306"/>
      <c r="J298" s="303">
        <f t="shared" si="75"/>
        <v>0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>
        <f>A275</f>
        <v>0</v>
      </c>
      <c r="B301" s="302" t="e">
        <f>ROUND('Pilot Project Budget'!N8/'W1'!H177*'W1'!B248*'W1'!$B$247+'Pilot Project Budget'!N8/'W1'!H177*'W1'!C248*'W1'!C247,0)</f>
        <v>#REF!</v>
      </c>
      <c r="C301" s="300"/>
      <c r="D301" s="302" t="e">
        <f>ROUND('Pilot Project Budget'!O8/(D248+E248)*'W1'!D248*'W1'!D$247+'Pilot Project Budget'!O8/(D248+E248)*'W1'!E248*'W1'!E$247,0)</f>
        <v>#REF!</v>
      </c>
      <c r="E301" s="300"/>
      <c r="F301" s="302" t="e">
        <f>ROUND('Pilot Project Budget'!P8/(F248+G248)*'W1'!F248*'W1'!F$247+'Pilot Project Budget'!P8/(F248+G248)*'W1'!G248*'W1'!G$247,0)</f>
        <v>#REF!</v>
      </c>
      <c r="G301" s="300"/>
      <c r="H301" s="302" t="e">
        <f>ROUND('Pilot Project Budget'!Q8/(H248+I248)*'W1'!H248*'W1'!H$247+'Pilot Project Budget'!Q8/(H248+I248)*'W1'!I248*'W1'!I$247,0)</f>
        <v>#REF!</v>
      </c>
      <c r="I301" s="300"/>
      <c r="J301" s="302" t="str">
        <f>IF(J275=0,"",ROUND('Pilot Project Budget'!R8/(J248+K248)*'W1'!J248*'W1'!J$247+'Pilot Project Budget'!R8/(J248+K248)*'W1'!K248*'W1'!K$247,0))</f>
        <v/>
      </c>
      <c r="K301" s="300"/>
    </row>
    <row r="302" spans="1:11" x14ac:dyDescent="0.2">
      <c r="A302" s="82">
        <f t="shared" ref="A302:A324" si="77">A276</f>
        <v>0</v>
      </c>
      <c r="B302" s="302" t="e">
        <f>ROUND('Pilot Project Budget'!N9/'W1'!H178*'W1'!B249*'W1'!$B$247+'Pilot Project Budget'!N9/'W1'!H178*'W1'!C249*'W1'!$C$247,0)</f>
        <v>#REF!</v>
      </c>
      <c r="C302" s="300"/>
      <c r="D302" s="302" t="e">
        <f>ROUND('Pilot Project Budget'!O9/(D249+E249)*'W1'!D249*'W1'!D$247+'Pilot Project Budget'!O9/(D249+E249)*'W1'!E249*'W1'!E$247,0)</f>
        <v>#REF!</v>
      </c>
      <c r="E302" s="300"/>
      <c r="F302" s="302" t="e">
        <f>ROUND('Pilot Project Budget'!P9/(F249+G249)*'W1'!F249*'W1'!F$247+'Pilot Project Budget'!P9/(F249+G249)*'W1'!G249*'W1'!G$247,0)</f>
        <v>#REF!</v>
      </c>
      <c r="G302" s="300"/>
      <c r="H302" s="302" t="e">
        <f>ROUND('Pilot Project Budget'!Q9/(H249+I249)*'W1'!H249*'W1'!H$247+'Pilot Project Budget'!Q9/(H249+I249)*'W1'!I249*'W1'!I$247,0)</f>
        <v>#REF!</v>
      </c>
      <c r="I302" s="300"/>
      <c r="J302" s="302" t="str">
        <f>IF(J276=0,"",ROUND('Pilot Project Budget'!R9/(J249+K249)*'W1'!J249*'W1'!J$247+'Pilot Project Budget'!R9/(J249+K249)*'W1'!K249*'W1'!K$247,0))</f>
        <v/>
      </c>
      <c r="K302" s="300"/>
    </row>
    <row r="303" spans="1:11" x14ac:dyDescent="0.2">
      <c r="A303" s="82">
        <f t="shared" si="77"/>
        <v>0</v>
      </c>
      <c r="B303" s="302" t="e">
        <f>ROUND('Pilot Project Budget'!N10/'W1'!H179*'W1'!B250*'W1'!$B$247+'Pilot Project Budget'!N10/'W1'!H179*'W1'!C250*'W1'!$C$247,0)</f>
        <v>#REF!</v>
      </c>
      <c r="C303" s="300"/>
      <c r="D303" s="302" t="e">
        <f>ROUND('Pilot Project Budget'!O10/(D250+E250)*'W1'!D250*'W1'!D$247+'Pilot Project Budget'!O10/(D250+E250)*'W1'!E250*'W1'!E$247,0)</f>
        <v>#REF!</v>
      </c>
      <c r="E303" s="300"/>
      <c r="F303" s="302" t="e">
        <f>ROUND('Pilot Project Budget'!P10/(F250+G250)*'W1'!F250*'W1'!F$247+'Pilot Project Budget'!P10/(F250+G250)*'W1'!G250*'W1'!G$247,0)</f>
        <v>#REF!</v>
      </c>
      <c r="G303" s="300"/>
      <c r="H303" s="302" t="e">
        <f>ROUND('Pilot Project Budget'!Q10/(H250+I250)*'W1'!H250*'W1'!H$247+'Pilot Project Budget'!Q10/(H250+I250)*'W1'!I250*'W1'!I$247,0)</f>
        <v>#REF!</v>
      </c>
      <c r="I303" s="300"/>
      <c r="J303" s="302" t="str">
        <f>IF(J277=0,"",ROUND('Pilot Project Budget'!R10/(J250+K250)*'W1'!J250*'W1'!J$247+'Pilot Project Budget'!R10/(J250+K250)*'W1'!K250*'W1'!K$247,0))</f>
        <v/>
      </c>
      <c r="K303" s="300"/>
    </row>
    <row r="304" spans="1:11" x14ac:dyDescent="0.2">
      <c r="A304" s="82">
        <f t="shared" si="77"/>
        <v>0</v>
      </c>
      <c r="B304" s="302" t="e">
        <f>ROUND('Pilot Project Budget'!N11/'W1'!H180*'W1'!B251*'W1'!$B$247+'Pilot Project Budget'!N11/'W1'!H180*'W1'!C251*'W1'!$C$247,0)</f>
        <v>#REF!</v>
      </c>
      <c r="C304" s="300"/>
      <c r="D304" s="302" t="e">
        <f>ROUND('Pilot Project Budget'!O11/(D251+E251)*'W1'!D251*'W1'!D$247+'Pilot Project Budget'!O11/(D251+E251)*'W1'!E251*'W1'!E$247,0)</f>
        <v>#REF!</v>
      </c>
      <c r="E304" s="300"/>
      <c r="F304" s="302" t="e">
        <f>ROUND('Pilot Project Budget'!P11/(F251+G251)*'W1'!F251*'W1'!F$247+'Pilot Project Budget'!P11/(F251+G251)*'W1'!G251*'W1'!G$247,0)</f>
        <v>#REF!</v>
      </c>
      <c r="G304" s="300"/>
      <c r="H304" s="302" t="e">
        <f>ROUND('Pilot Project Budget'!Q11/(H251+I251)*'W1'!H251*'W1'!H$247+'Pilot Project Budget'!Q11/(H251+I251)*'W1'!I251*'W1'!I$247,0)</f>
        <v>#REF!</v>
      </c>
      <c r="I304" s="300"/>
      <c r="J304" s="302" t="str">
        <f>IF(J278=0,"",ROUND('Pilot Project Budget'!R11/(J251+K251)*'W1'!J251*'W1'!J$247+'Pilot Project Budget'!R11/(J251+K251)*'W1'!K251*'W1'!K$247,0))</f>
        <v/>
      </c>
      <c r="K304" s="300"/>
    </row>
    <row r="305" spans="1:12" x14ac:dyDescent="0.2">
      <c r="A305" s="82">
        <f t="shared" si="77"/>
        <v>0</v>
      </c>
      <c r="B305" s="302" t="e">
        <f>IF((B252+C252)&lt;&gt;0,ROUND('Pilot Project Budget'!N12/'W1'!H181*'W1'!B252*'W1'!$B$247+'Pilot Project Budget'!N12/'W1'!H181*'W1'!C252*'W1'!$C$247,0),0)</f>
        <v>#REF!</v>
      </c>
      <c r="C305" s="300"/>
      <c r="D305" s="302" t="e">
        <f>ROUND('Pilot Project Budget'!O12/(D252+E252)*'W1'!D252*'W1'!D$247+'Pilot Project Budget'!O12/(D252+E252)*'W1'!E252*'W1'!E$247,0)</f>
        <v>#REF!</v>
      </c>
      <c r="E305" s="300"/>
      <c r="F305" s="302" t="e">
        <f>ROUND('Pilot Project Budget'!P12/(F252+G252)*'W1'!F252*'W1'!F$247+'Pilot Project Budget'!P12/(F252+G252)*'W1'!G252*'W1'!G$247,0)</f>
        <v>#REF!</v>
      </c>
      <c r="G305" s="300"/>
      <c r="H305" s="302" t="e">
        <f>ROUND('Pilot Project Budget'!Q12/(H252+I252)*'W1'!H252*'W1'!H$247+'Pilot Project Budget'!Q12/(H252+I252)*'W1'!I252*'W1'!I$247,0)</f>
        <v>#REF!</v>
      </c>
      <c r="I305" s="300"/>
      <c r="J305" s="302" t="str">
        <f>IF(J279=0,"",ROUND('Pilot Project Budget'!R12/(J252+K252)*'W1'!J252*'W1'!J$247+'Pilot Project Budget'!R12/(J252+K252)*'W1'!K252*'W1'!K$247,0))</f>
        <v/>
      </c>
      <c r="K305" s="300"/>
      <c r="L305" s="17"/>
    </row>
    <row r="306" spans="1:12" x14ac:dyDescent="0.2">
      <c r="A306" s="82">
        <f t="shared" si="77"/>
        <v>0</v>
      </c>
      <c r="B306" s="302" t="e">
        <f>IF((B253+C253)&lt;&gt;0,ROUND('Pilot Project Budget'!N13/'W1'!H182*'W1'!B253*'W1'!$B$247+'Pilot Project Budget'!N13/'W1'!H182*'W1'!C253*'W1'!$C$247,0),0)</f>
        <v>#REF!</v>
      </c>
      <c r="C306" s="300"/>
      <c r="D306" s="302" t="e">
        <f>ROUND('Pilot Project Budget'!O13/(D253+E253)*'W1'!D253*'W1'!D$247+'Pilot Project Budget'!O13/(D253+E253)*'W1'!E253*'W1'!E$247,0)</f>
        <v>#REF!</v>
      </c>
      <c r="E306" s="300"/>
      <c r="F306" s="302" t="e">
        <f>ROUND('Pilot Project Budget'!P13/(F253+G253)*'W1'!F253*'W1'!F$247+'Pilot Project Budget'!P13/(F253+G253)*'W1'!G253*'W1'!G$247,0)</f>
        <v>#REF!</v>
      </c>
      <c r="G306" s="300"/>
      <c r="H306" s="302" t="e">
        <f>ROUND('Pilot Project Budget'!Q13/(H253+I253)*'W1'!H253*'W1'!H$247+'Pilot Project Budget'!Q13/(H253+I253)*'W1'!I253*'W1'!I$247,0)</f>
        <v>#REF!</v>
      </c>
      <c r="I306" s="300"/>
      <c r="J306" s="302" t="str">
        <f>IF(J280=0,"",ROUND('Pilot Project Budget'!R13/(J253+K253)*'W1'!J253*'W1'!J$247+'Pilot Project Budget'!R13/(J253+K253)*'W1'!K253*'W1'!K$247,0))</f>
        <v/>
      </c>
      <c r="K306" s="300"/>
    </row>
    <row r="307" spans="1:12" x14ac:dyDescent="0.2">
      <c r="A307" s="82">
        <f t="shared" si="77"/>
        <v>0</v>
      </c>
      <c r="B307" s="302" t="e">
        <f>IF((B254+C254)&lt;&gt;0,ROUND('Pilot Project Budget'!N14/'W1'!H183*'W1'!B254*'W1'!$B$247+'Pilot Project Budget'!N14/'W1'!H183*'W1'!C254*'W1'!$C$247,0),0)</f>
        <v>#REF!</v>
      </c>
      <c r="C307" s="300"/>
      <c r="D307" s="302" t="e">
        <f>ROUND('Pilot Project Budget'!O14/(D254+E254)*'W1'!D254*'W1'!D$247+'Pilot Project Budget'!O14/(D254+E254)*'W1'!E254*'W1'!E$247,0)</f>
        <v>#REF!</v>
      </c>
      <c r="E307" s="300"/>
      <c r="F307" s="302" t="e">
        <f>ROUND('Pilot Project Budget'!P14/(F254+G254)*'W1'!F254*'W1'!F$247+'Pilot Project Budget'!P14/(F254+G254)*'W1'!G254*'W1'!G$247,0)</f>
        <v>#REF!</v>
      </c>
      <c r="G307" s="300"/>
      <c r="H307" s="302" t="e">
        <f>ROUND('Pilot Project Budget'!Q14/(H254+I254)*'W1'!H254*'W1'!H$247+'Pilot Project Budget'!Q14/(H254+I254)*'W1'!I254*'W1'!I$247,0)</f>
        <v>#REF!</v>
      </c>
      <c r="I307" s="300"/>
      <c r="J307" s="302" t="str">
        <f>IF(J281=0,"",ROUND('Pilot Project Budget'!R14/(J254+K254)*'W1'!J254*'W1'!J$247+'Pilot Project Budget'!R14/(J254+K254)*'W1'!K254*'W1'!K$247,0))</f>
        <v/>
      </c>
      <c r="K307" s="300"/>
    </row>
    <row r="308" spans="1:12" x14ac:dyDescent="0.2">
      <c r="A308" s="82">
        <f t="shared" si="77"/>
        <v>0</v>
      </c>
      <c r="B308" s="302" t="e">
        <f>IF((B255+C255)&lt;&gt;0,ROUND('Pilot Project Budget'!N15/'W1'!H184*'W1'!B255*'W1'!$B$247+'Pilot Project Budget'!N15/'W1'!H184*'W1'!C255*'W1'!$C$247,0),0)</f>
        <v>#REF!</v>
      </c>
      <c r="C308" s="300"/>
      <c r="D308" s="302" t="e">
        <f>ROUND('Pilot Project Budget'!O15/(D255+E255)*'W1'!D255*'W1'!D$247+'Pilot Project Budget'!O15/(D255+E255)*'W1'!E255*'W1'!E$247,0)</f>
        <v>#REF!</v>
      </c>
      <c r="E308" s="300"/>
      <c r="F308" s="302" t="e">
        <f>ROUND('Pilot Project Budget'!P15/(F255+G255)*'W1'!F255*'W1'!F$247+'Pilot Project Budget'!P15/(F255+G255)*'W1'!G255*'W1'!G$247,0)</f>
        <v>#REF!</v>
      </c>
      <c r="G308" s="300"/>
      <c r="H308" s="302" t="e">
        <f>ROUND('Pilot Project Budget'!Q15/(H255+I255)*'W1'!H255*'W1'!H$247+'Pilot Project Budget'!Q15/(H255+I255)*'W1'!I255*'W1'!I$247,0)</f>
        <v>#REF!</v>
      </c>
      <c r="I308" s="300"/>
      <c r="J308" s="302" t="str">
        <f>IF(J282=0,"",ROUND('Pilot Project Budget'!R15/(J255+K255)*'W1'!J255*'W1'!J$247+'Pilot Project Budget'!R15/(J255+K255)*'W1'!K255*'W1'!K$247,0))</f>
        <v/>
      </c>
      <c r="K308" s="300"/>
    </row>
    <row r="309" spans="1:12" x14ac:dyDescent="0.2">
      <c r="A309" s="82">
        <f t="shared" si="77"/>
        <v>0</v>
      </c>
      <c r="B309" s="302" t="e">
        <f>IF((B256+C256)&lt;&gt;0,ROUND('Pilot Project Budget'!N16/'W1'!H185*'W1'!B256*'W1'!$B$247+'Pilot Project Budget'!N16/'W1'!H185*'W1'!C256*'W1'!$C$247,0),0)</f>
        <v>#REF!</v>
      </c>
      <c r="C309" s="300"/>
      <c r="D309" s="302" t="e">
        <f>ROUND('Pilot Project Budget'!O16/(D256+E256)*'W1'!D256*'W1'!D$247+'Pilot Project Budget'!O16/(D256+E256)*'W1'!E256*'W1'!E$247,0)</f>
        <v>#REF!</v>
      </c>
      <c r="E309" s="300"/>
      <c r="F309" s="302" t="e">
        <f>ROUND('Pilot Project Budget'!P16/(F256+G256)*'W1'!F256*'W1'!F$247+'Pilot Project Budget'!P16/(F256+G256)*'W1'!G256*'W1'!G$247,0)</f>
        <v>#REF!</v>
      </c>
      <c r="G309" s="300"/>
      <c r="H309" s="302" t="e">
        <f>ROUND('Pilot Project Budget'!Q16/(H256+I256)*'W1'!H256*'W1'!H$247+'Pilot Project Budget'!Q16/(H256+I256)*'W1'!I256*'W1'!I$247,0)</f>
        <v>#REF!</v>
      </c>
      <c r="I309" s="300"/>
      <c r="J309" s="302" t="str">
        <f>IF(J283=0,"",ROUND('Pilot Project Budget'!R16/(J256+K256)*'W1'!J256*'W1'!J$247+'Pilot Project Budget'!R16/(J256+K256)*'W1'!K256*'W1'!K$247,0))</f>
        <v/>
      </c>
      <c r="K309" s="300"/>
    </row>
    <row r="310" spans="1:12" x14ac:dyDescent="0.2">
      <c r="A310" s="82">
        <f t="shared" si="77"/>
        <v>0</v>
      </c>
      <c r="B310" s="302" t="e">
        <f>IF((B257+C257)&lt;&gt;0,ROUND('Pilot Project Budget'!N17/'W1'!H186*'W1'!B257*'W1'!$B$247+'Pilot Project Budget'!N17/'W1'!H186*'W1'!C257*'W1'!$C$247,0),0)</f>
        <v>#REF!</v>
      </c>
      <c r="C310" s="300"/>
      <c r="D310" s="302" t="e">
        <f>ROUND('Pilot Project Budget'!O17/(D257+E257)*'W1'!D257*'W1'!D$247+'Pilot Project Budget'!O17/(D257+E257)*'W1'!E257*'W1'!E$247,0)</f>
        <v>#REF!</v>
      </c>
      <c r="E310" s="300"/>
      <c r="F310" s="302" t="e">
        <f>ROUND('Pilot Project Budget'!P17/(F257+G257)*'W1'!F257*'W1'!F$247+'Pilot Project Budget'!P17/(F257+G257)*'W1'!G257*'W1'!G$247,0)</f>
        <v>#REF!</v>
      </c>
      <c r="G310" s="300"/>
      <c r="H310" s="302" t="e">
        <f>ROUND('Pilot Project Budget'!Q17/(H257+I257)*'W1'!H257*'W1'!H$247+'Pilot Project Budget'!Q17/(H257+I257)*'W1'!I257*'W1'!I$247,0)</f>
        <v>#REF!</v>
      </c>
      <c r="I310" s="300"/>
      <c r="J310" s="302" t="str">
        <f>IF(J284=0,"",ROUND('Pilot Project Budget'!R17/(J257+K257)*'W1'!J257*'W1'!J$247+'Pilot Project Budget'!R17/(J257+K257)*'W1'!K257*'W1'!K$247,0))</f>
        <v/>
      </c>
      <c r="K310" s="300"/>
    </row>
    <row r="311" spans="1:12" x14ac:dyDescent="0.2">
      <c r="A311" s="82">
        <f t="shared" si="77"/>
        <v>0</v>
      </c>
      <c r="B311" s="302" t="e">
        <f>IF((B258+C258)&lt;&gt;0,ROUND('Pilot Project Budget'!N18/'W1'!H187*'W1'!B258*'W1'!$B$247+'Pilot Project Budget'!N18/'W1'!H187*'W1'!C258*'W1'!$C$247,0),0)</f>
        <v>#REF!</v>
      </c>
      <c r="C311" s="300"/>
      <c r="D311" s="302" t="e">
        <f>ROUND('Pilot Project Budget'!O18/(D258+E258)*'W1'!D258*'W1'!D$247+'Pilot Project Budget'!O18/(D258+E258)*'W1'!E258*'W1'!E$247,0)</f>
        <v>#REF!</v>
      </c>
      <c r="E311" s="300"/>
      <c r="F311" s="302" t="e">
        <f>ROUND('Pilot Project Budget'!P18/(F258+G258)*'W1'!F258*'W1'!F$247+'Pilot Project Budget'!P18/(F258+G258)*'W1'!G258*'W1'!G$247,0)</f>
        <v>#REF!</v>
      </c>
      <c r="G311" s="300"/>
      <c r="H311" s="302" t="e">
        <f>ROUND('Pilot Project Budget'!Q18/(H258+I258)*'W1'!H258*'W1'!H$247+'Pilot Project Budget'!Q18/(H258+I258)*'W1'!I258*'W1'!I$247,0)</f>
        <v>#REF!</v>
      </c>
      <c r="I311" s="300"/>
      <c r="J311" s="302" t="str">
        <f>IF(J285=0,"",ROUND('Pilot Project Budget'!R18/(J258+K258)*'W1'!J258*'W1'!J$247+'Pilot Project Budget'!R18/(J258+K258)*'W1'!K258*'W1'!K$247,0))</f>
        <v/>
      </c>
      <c r="K311" s="300"/>
    </row>
    <row r="312" spans="1:12" x14ac:dyDescent="0.2">
      <c r="A312" s="82">
        <f t="shared" si="77"/>
        <v>0</v>
      </c>
      <c r="B312" s="302" t="e">
        <f>IF((B259+C259)&lt;&gt;0,ROUND('Pilot Project Budget'!N19/'W1'!H188*'W1'!B259*'W1'!$B$247+'Pilot Project Budget'!N19/'W1'!H188*'W1'!C259*'W1'!$C$247,0),0)</f>
        <v>#REF!</v>
      </c>
      <c r="C312" s="300"/>
      <c r="D312" s="302" t="e">
        <f>ROUND('Pilot Project Budget'!O19/(D259+E259)*'W1'!D259*'W1'!D$247+'Pilot Project Budget'!O19/(D259+E259)*'W1'!E259*'W1'!E$247,0)</f>
        <v>#REF!</v>
      </c>
      <c r="E312" s="300"/>
      <c r="F312" s="302" t="e">
        <f>ROUND('Pilot Project Budget'!P19/(F259+G259)*'W1'!F259*'W1'!F$247+'Pilot Project Budget'!P19/(F259+G259)*'W1'!G259*'W1'!G$247,0)</f>
        <v>#REF!</v>
      </c>
      <c r="G312" s="300"/>
      <c r="H312" s="302" t="e">
        <f>ROUND('Pilot Project Budget'!Q19/(H259+I259)*'W1'!H259*'W1'!H$247+'Pilot Project Budget'!Q19/(H259+I259)*'W1'!I259*'W1'!I$247,0)</f>
        <v>#REF!</v>
      </c>
      <c r="I312" s="300"/>
      <c r="J312" s="302" t="str">
        <f>IF(J286=0,"",ROUND('Pilot Project Budget'!R19/(J259+K259)*'W1'!J259*'W1'!J$247+'Pilot Project Budget'!R19/(J259+K259)*'W1'!K259*'W1'!K$247,0))</f>
        <v/>
      </c>
      <c r="K312" s="300"/>
    </row>
    <row r="313" spans="1:12" x14ac:dyDescent="0.2">
      <c r="A313" s="82">
        <f t="shared" si="77"/>
        <v>0</v>
      </c>
      <c r="B313" s="302" t="e">
        <f>IF((B260+C260)&lt;&gt;0,ROUND('Pilot Project Budget'!N20/'W1'!H189*'W1'!B260*'W1'!$B$247+'Pilot Project Budget'!N20/'W1'!H189*'W1'!C260*'W1'!$C$247,0),0)</f>
        <v>#REF!</v>
      </c>
      <c r="C313" s="300"/>
      <c r="D313" s="302" t="e">
        <f>ROUND('Pilot Project Budget'!O20/(D260+E260)*'W1'!D260*'W1'!D$247+'Pilot Project Budget'!O20/(D260+E260)*'W1'!E260*'W1'!E$247,0)</f>
        <v>#REF!</v>
      </c>
      <c r="E313" s="300"/>
      <c r="F313" s="302" t="e">
        <f>ROUND('Pilot Project Budget'!P20/(F260+G260)*'W1'!F260*'W1'!F$247+'Pilot Project Budget'!P20/(F260+G260)*'W1'!G260*'W1'!G$247,0)</f>
        <v>#REF!</v>
      </c>
      <c r="G313" s="300"/>
      <c r="H313" s="302" t="e">
        <f>ROUND('Pilot Project Budget'!Q20/(H260+I260)*'W1'!H260*'W1'!H$247+'Pilot Project Budget'!Q20/(H260+I260)*'W1'!I260*'W1'!I$247,0)</f>
        <v>#REF!</v>
      </c>
      <c r="I313" s="300"/>
      <c r="J313" s="302" t="str">
        <f>IF(J287=0,"",ROUND('Pilot Project Budget'!R20/(J260+K260)*'W1'!J260*'W1'!J$247+'Pilot Project Budget'!R20/(J260+K260)*'W1'!K260*'W1'!K$247,0))</f>
        <v/>
      </c>
      <c r="K313" s="300"/>
    </row>
    <row r="314" spans="1:12" x14ac:dyDescent="0.2">
      <c r="A314" s="82">
        <f t="shared" si="77"/>
        <v>0</v>
      </c>
      <c r="B314" s="302" t="e">
        <f>IF((B261+C261)&lt;&gt;0,ROUND('Pilot Project Budget'!N21/'W1'!H190*'W1'!B261*'W1'!$B$247+'Pilot Project Budget'!N21/'W1'!H190*'W1'!C261*'W1'!$C$247,0),0)</f>
        <v>#REF!</v>
      </c>
      <c r="C314" s="300"/>
      <c r="D314" s="302" t="e">
        <f>ROUND('Pilot Project Budget'!O21/(D261+E261)*'W1'!D261*'W1'!D$247+'Pilot Project Budget'!O21/(D261+E261)*'W1'!E261*'W1'!E$247,0)</f>
        <v>#REF!</v>
      </c>
      <c r="E314" s="300"/>
      <c r="F314" s="302" t="e">
        <f>ROUND('Pilot Project Budget'!P21/(F261+G261)*'W1'!F261*'W1'!F$247+'Pilot Project Budget'!P21/(F261+G261)*'W1'!G261*'W1'!G$247,0)</f>
        <v>#REF!</v>
      </c>
      <c r="G314" s="300"/>
      <c r="H314" s="302" t="e">
        <f>ROUND('Pilot Project Budget'!Q21/(H261+I261)*'W1'!H261*'W1'!H$247+'Pilot Project Budget'!Q21/(H261+I261)*'W1'!I261*'W1'!I$247,0)</f>
        <v>#REF!</v>
      </c>
      <c r="I314" s="300"/>
      <c r="J314" s="302" t="str">
        <f>IF(J288=0,"",ROUND('Pilot Project Budget'!R21/(J261+K261)*'W1'!J261*'W1'!J$247+'Pilot Project Budget'!R21/(J261+K261)*'W1'!K261*'W1'!K$247,0))</f>
        <v/>
      </c>
      <c r="K314" s="300"/>
    </row>
    <row r="315" spans="1:12" x14ac:dyDescent="0.2">
      <c r="A315" s="82">
        <f t="shared" si="77"/>
        <v>0</v>
      </c>
      <c r="B315" s="302" t="e">
        <f>IF((B262+C262)&lt;&gt;0,ROUND('Pilot Project Budget'!N22/'W1'!H191*'W1'!B262*'W1'!$B$247+'Pilot Project Budget'!N22/'W1'!H191*'W1'!C262*'W1'!$C$247,0),0)</f>
        <v>#REF!</v>
      </c>
      <c r="C315" s="300"/>
      <c r="D315" s="302" t="e">
        <f>ROUND('Pilot Project Budget'!O22/(D262+E262)*'W1'!D262*'W1'!D$247+'Pilot Project Budget'!O22/(D262+E262)*'W1'!E262*'W1'!E$247,0)</f>
        <v>#REF!</v>
      </c>
      <c r="E315" s="300"/>
      <c r="F315" s="302" t="e">
        <f>ROUND('Pilot Project Budget'!P22/(F262+G262)*'W1'!F262*'W1'!F$247+'Pilot Project Budget'!P22/(F262+G262)*'W1'!G262*'W1'!G$247,0)</f>
        <v>#REF!</v>
      </c>
      <c r="G315" s="300"/>
      <c r="H315" s="302" t="e">
        <f>ROUND('Pilot Project Budget'!Q22/(H262+I262)*'W1'!H262*'W1'!H$247+'Pilot Project Budget'!Q22/(H262+I262)*'W1'!I262*'W1'!I$247,0)</f>
        <v>#REF!</v>
      </c>
      <c r="I315" s="300"/>
      <c r="J315" s="302" t="str">
        <f>IF(J289=0,"",ROUND('Pilot Project Budget'!R22/(J262+K262)*'W1'!J262*'W1'!J$247+'Pilot Project Budget'!R22/(J262+K262)*'W1'!K262*'W1'!K$247,0))</f>
        <v/>
      </c>
      <c r="K315" s="300"/>
    </row>
    <row r="316" spans="1:12" x14ac:dyDescent="0.2">
      <c r="A316" s="82">
        <f t="shared" si="77"/>
        <v>0</v>
      </c>
      <c r="B316" s="302" t="e">
        <f>IF((B263+C263)&lt;&gt;0,ROUND('Pilot Project Budget'!N23/'W1'!H192*'W1'!B263*'W1'!$B$247+'Pilot Project Budget'!N23/'W1'!H192*'W1'!C263*'W1'!$C$247,0),0)</f>
        <v>#REF!</v>
      </c>
      <c r="C316" s="300"/>
      <c r="D316" s="302" t="e">
        <f>ROUND('Pilot Project Budget'!O23/(D263+E263)*'W1'!D263*'W1'!D$247+'Pilot Project Budget'!O23/(D263+E263)*'W1'!E263*'W1'!E$247,0)</f>
        <v>#REF!</v>
      </c>
      <c r="E316" s="300"/>
      <c r="F316" s="302" t="e">
        <f>ROUND('Pilot Project Budget'!P23/(F263+G263)*'W1'!F263*'W1'!F$247+'Pilot Project Budget'!P23/(F263+G263)*'W1'!G263*'W1'!G$247,0)</f>
        <v>#REF!</v>
      </c>
      <c r="G316" s="300"/>
      <c r="H316" s="302" t="e">
        <f>ROUND('Pilot Project Budget'!Q23/(H263+I263)*'W1'!H263*'W1'!H$247+'Pilot Project Budget'!Q23/(H263+I263)*'W1'!I263*'W1'!I$247,0)</f>
        <v>#REF!</v>
      </c>
      <c r="I316" s="300"/>
      <c r="J316" s="302" t="str">
        <f>IF(J290=0,"",ROUND('Pilot Project Budget'!R23/(J263+K263)*'W1'!J263*'W1'!J$247+'Pilot Project Budget'!R23/(J263+K263)*'W1'!K263*'W1'!K$247,0))</f>
        <v/>
      </c>
      <c r="K316" s="300"/>
    </row>
    <row r="317" spans="1:12" x14ac:dyDescent="0.2">
      <c r="A317" s="82">
        <f t="shared" si="77"/>
        <v>0</v>
      </c>
      <c r="B317" s="302" t="e">
        <f>IF((B264+C264)&lt;&gt;0,ROUND('Pilot Project Budget'!N24/'W1'!H193*'W1'!B264*'W1'!$B$247+'Pilot Project Budget'!N24/'W1'!H193*'W1'!C264*'W1'!$C$247,0),0)</f>
        <v>#REF!</v>
      </c>
      <c r="C317" s="300"/>
      <c r="D317" s="302" t="e">
        <f>ROUND('Pilot Project Budget'!O24/(D264+E264)*'W1'!D264*'W1'!D$247+'Pilot Project Budget'!O24/(D264+E264)*'W1'!E264*'W1'!E$247,0)</f>
        <v>#REF!</v>
      </c>
      <c r="E317" s="300"/>
      <c r="F317" s="302" t="e">
        <f>ROUND('Pilot Project Budget'!P24/(F264+G264)*'W1'!F264*'W1'!F$247+'Pilot Project Budget'!P24/(F264+G264)*'W1'!G264*'W1'!G$247,0)</f>
        <v>#REF!</v>
      </c>
      <c r="G317" s="300"/>
      <c r="H317" s="302" t="e">
        <f>ROUND('Pilot Project Budget'!Q24/(H264+I264)*'W1'!H264*'W1'!H$247+'Pilot Project Budget'!Q24/(H264+I264)*'W1'!I264*'W1'!I$247,0)</f>
        <v>#REF!</v>
      </c>
      <c r="I317" s="300"/>
      <c r="J317" s="302" t="str">
        <f>IF(J291=0,"",ROUND('Pilot Project Budget'!R24/(J264+K264)*'W1'!J264*'W1'!J$247+'Pilot Project Budget'!R24/(J264+K264)*'W1'!K264*'W1'!K$247,0))</f>
        <v/>
      </c>
      <c r="K317" s="300"/>
    </row>
    <row r="318" spans="1:12" x14ac:dyDescent="0.2">
      <c r="A318" s="82">
        <f t="shared" si="77"/>
        <v>0</v>
      </c>
      <c r="B318" s="302" t="e">
        <f>IF((B265+C265)&lt;&gt;0,ROUND('Pilot Project Budget'!N25/'W1'!H194*'W1'!B265*'W1'!$B$247+'Pilot Project Budget'!N25/'W1'!H194*'W1'!C265*'W1'!$C$247,0),0)</f>
        <v>#REF!</v>
      </c>
      <c r="C318" s="300"/>
      <c r="D318" s="302" t="e">
        <f>ROUND('Pilot Project Budget'!O25/(D265+E265)*'W1'!D265*'W1'!D$247+'Pilot Project Budget'!O25/(D265+E265)*'W1'!E265*'W1'!E$247,0)</f>
        <v>#REF!</v>
      </c>
      <c r="E318" s="300"/>
      <c r="F318" s="302" t="e">
        <f>ROUND('Pilot Project Budget'!P25/(F265+G265)*'W1'!F265*'W1'!F$247+'Pilot Project Budget'!P25/(F265+G265)*'W1'!G265*'W1'!G$247,0)</f>
        <v>#REF!</v>
      </c>
      <c r="G318" s="300"/>
      <c r="H318" s="302" t="e">
        <f>ROUND('Pilot Project Budget'!Q25/(H265+I265)*'W1'!H265*'W1'!H$247+'Pilot Project Budget'!Q25/(H265+I265)*'W1'!I265*'W1'!I$247,0)</f>
        <v>#REF!</v>
      </c>
      <c r="I318" s="300"/>
      <c r="J318" s="302" t="str">
        <f>IF(J292=0,"",ROUND('Pilot Project Budget'!R25/(J265+K265)*'W1'!J265*'W1'!J$247+'Pilot Project Budget'!R25/(J265+K265)*'W1'!K265*'W1'!K$247,0))</f>
        <v/>
      </c>
      <c r="K318" s="300"/>
    </row>
    <row r="319" spans="1:12" x14ac:dyDescent="0.2">
      <c r="A319" s="82">
        <f t="shared" si="77"/>
        <v>0</v>
      </c>
      <c r="B319" s="302" t="e">
        <f>IF((B266+C266)&lt;&gt;0,ROUND('Pilot Project Budget'!N26/'W1'!H195*'W1'!B266*'W1'!$B$247+'Pilot Project Budget'!N26/'W1'!H195*'W1'!C266*'W1'!$C$247,0),0)</f>
        <v>#REF!</v>
      </c>
      <c r="C319" s="300"/>
      <c r="D319" s="302" t="e">
        <f>ROUND('Pilot Project Budget'!O26/(D266+E266)*'W1'!D266*'W1'!D$247+'Pilot Project Budget'!O26/(D266+E266)*'W1'!E266*'W1'!E$247,0)</f>
        <v>#REF!</v>
      </c>
      <c r="E319" s="300"/>
      <c r="F319" s="302" t="e">
        <f>ROUND('Pilot Project Budget'!P26/(F266+G266)*'W1'!F266*'W1'!F$247+'Pilot Project Budget'!P26/(F266+G266)*'W1'!G266*'W1'!G$247,0)</f>
        <v>#REF!</v>
      </c>
      <c r="G319" s="300"/>
      <c r="H319" s="302" t="e">
        <f>ROUND('Pilot Project Budget'!Q26/(H266+I266)*'W1'!H266*'W1'!H$247+'Pilot Project Budget'!Q26/(H266+I266)*'W1'!I266*'W1'!I$247,0)</f>
        <v>#REF!</v>
      </c>
      <c r="I319" s="300"/>
      <c r="J319" s="302" t="str">
        <f>IF(J293=0,"",ROUND('Pilot Project Budget'!R26/(J266+K266)*'W1'!J266*'W1'!J$247+'Pilot Project Budget'!R26/(J266+K266)*'W1'!K266*'W1'!K$247,0))</f>
        <v/>
      </c>
      <c r="K319" s="300"/>
    </row>
    <row r="320" spans="1:12" x14ac:dyDescent="0.2">
      <c r="A320" s="82">
        <f t="shared" si="77"/>
        <v>0</v>
      </c>
      <c r="B320" s="302" t="e">
        <f>IF((B267+C267)&lt;&gt;0,ROUND('Pilot Project Budget'!N27/'W1'!H196*'W1'!B267*'W1'!$B$247+'Pilot Project Budget'!N27/'W1'!H196*'W1'!C267*'W1'!$C$247,0),0)</f>
        <v>#REF!</v>
      </c>
      <c r="C320" s="300"/>
      <c r="D320" s="302" t="e">
        <f>ROUND('Pilot Project Budget'!O27/(D267+E267)*'W1'!D267*'W1'!D$247+'Pilot Project Budget'!O27/(D267+E267)*'W1'!E267*'W1'!E$247,0)</f>
        <v>#REF!</v>
      </c>
      <c r="E320" s="300"/>
      <c r="F320" s="302" t="e">
        <f>ROUND('Pilot Project Budget'!P27/(F267+G267)*'W1'!F267*'W1'!F$247+'Pilot Project Budget'!P27/(F267+G267)*'W1'!G267*'W1'!G$247,0)</f>
        <v>#REF!</v>
      </c>
      <c r="G320" s="300"/>
      <c r="H320" s="302" t="e">
        <f>ROUND('Pilot Project Budget'!Q27/(H267+I267)*'W1'!H267*'W1'!H$247+'Pilot Project Budget'!Q27/(H267+I267)*'W1'!I267*'W1'!I$247,0)</f>
        <v>#REF!</v>
      </c>
      <c r="I320" s="300"/>
      <c r="J320" s="302" t="str">
        <f>IF(J294=0,"",ROUND('Pilot Project Budget'!R27/(J267+K267)*'W1'!J267*'W1'!J$247+'Pilot Project Budget'!R27/(J267+K267)*'W1'!K267*'W1'!K$247,0))</f>
        <v/>
      </c>
      <c r="K320" s="300"/>
    </row>
    <row r="321" spans="1:11" x14ac:dyDescent="0.2">
      <c r="A321" s="82">
        <f t="shared" si="77"/>
        <v>0</v>
      </c>
      <c r="B321" s="302" t="e">
        <f>IF((B268+C268)&lt;&gt;0,ROUND('Pilot Project Budget'!N28/'W1'!H197*'W1'!B268*'W1'!$B$247+'Pilot Project Budget'!N28/'W1'!H197*'W1'!C268*'W1'!$C$247,0),0)</f>
        <v>#REF!</v>
      </c>
      <c r="C321" s="300"/>
      <c r="D321" s="302" t="e">
        <f>ROUND('Pilot Project Budget'!O28/(D268+E268)*'W1'!D268*'W1'!D$247+'Pilot Project Budget'!O28/(D268+E268)*'W1'!E268*'W1'!E$247,0)</f>
        <v>#REF!</v>
      </c>
      <c r="E321" s="300"/>
      <c r="F321" s="302" t="e">
        <f>ROUND('Pilot Project Budget'!P28/(F268+G268)*'W1'!F268*'W1'!F$247+'Pilot Project Budget'!P28/(F268+G268)*'W1'!G268*'W1'!G$247,0)</f>
        <v>#REF!</v>
      </c>
      <c r="G321" s="300"/>
      <c r="H321" s="302" t="e">
        <f>ROUND('Pilot Project Budget'!Q28/(H268+I268)*'W1'!H268*'W1'!H$247+'Pilot Project Budget'!Q28/(H268+I268)*'W1'!I268*'W1'!I$247,0)</f>
        <v>#REF!</v>
      </c>
      <c r="I321" s="300"/>
      <c r="J321" s="302" t="str">
        <f>IF(J295=0,"",ROUND('Pilot Project Budget'!R28/(J268+K268)*'W1'!J268*'W1'!J$247+'Pilot Project Budget'!R28/(J268+K268)*'W1'!K268*'W1'!K$247,0))</f>
        <v/>
      </c>
      <c r="K321" s="300"/>
    </row>
    <row r="322" spans="1:11" x14ac:dyDescent="0.2">
      <c r="A322" s="82">
        <f t="shared" si="77"/>
        <v>0</v>
      </c>
      <c r="B322" s="302" t="e">
        <f>IF((B269+C269)&lt;&gt;0,ROUND('Pilot Project Budget'!N29/'W1'!H198*'W1'!B269*'W1'!$B$247+'Pilot Project Budget'!N29/'W1'!H198*'W1'!C269*'W1'!$C$247,0),0)</f>
        <v>#REF!</v>
      </c>
      <c r="C322" s="300"/>
      <c r="D322" s="302" t="e">
        <f>ROUND('Pilot Project Budget'!O29/(D269+E269)*'W1'!D269*'W1'!D$247+'Pilot Project Budget'!O29/(D269+E269)*'W1'!E269*'W1'!E$247,0)</f>
        <v>#REF!</v>
      </c>
      <c r="E322" s="300"/>
      <c r="F322" s="302" t="e">
        <f>ROUND('Pilot Project Budget'!P29/(F269+G269)*'W1'!F269*'W1'!F$247+'Pilot Project Budget'!P29/(F269+G269)*'W1'!G269*'W1'!G$247,0)</f>
        <v>#REF!</v>
      </c>
      <c r="G322" s="300"/>
      <c r="H322" s="302" t="e">
        <f>ROUND('Pilot Project Budget'!Q29/(H269+I269)*'W1'!H269*'W1'!H$247+'Pilot Project Budget'!Q29/(H269+I269)*'W1'!I269*'W1'!I$247,0)</f>
        <v>#REF!</v>
      </c>
      <c r="I322" s="300"/>
      <c r="J322" s="302" t="str">
        <f>IF(J296=0,"",ROUND('Pilot Project Budget'!R29/(J269+K269)*'W1'!J269*'W1'!J$247+'Pilot Project Budget'!R29/(J269+K269)*'W1'!K269*'W1'!K$247,0))</f>
        <v/>
      </c>
      <c r="K322" s="300"/>
    </row>
    <row r="323" spans="1:11" x14ac:dyDescent="0.2">
      <c r="A323" s="82">
        <f t="shared" si="77"/>
        <v>0</v>
      </c>
      <c r="B323" s="302" t="e">
        <f>IF((B270+C270)&lt;&gt;0,ROUND('Pilot Project Budget'!N30/'W1'!H199*'W1'!B270*'W1'!$B$247+'Pilot Project Budget'!N30/'W1'!H199*'W1'!C270*'W1'!$C$247,0),0)</f>
        <v>#REF!</v>
      </c>
      <c r="C323" s="300"/>
      <c r="D323" s="302" t="e">
        <f>ROUND('Pilot Project Budget'!O30/(D270+E270)*'W1'!D270*'W1'!D$247+'Pilot Project Budget'!O30/(D270+E270)*'W1'!E270*'W1'!E$247,0)</f>
        <v>#REF!</v>
      </c>
      <c r="E323" s="300"/>
      <c r="F323" s="302" t="e">
        <f>ROUND('Pilot Project Budget'!P30/(F270+G270)*'W1'!F270*'W1'!F$247+'Pilot Project Budget'!P30/(F270+G270)*'W1'!G270*'W1'!G$247,0)</f>
        <v>#REF!</v>
      </c>
      <c r="G323" s="300"/>
      <c r="H323" s="302" t="e">
        <f>ROUND('Pilot Project Budget'!Q30/(H270+I270)*'W1'!H270*'W1'!H$247+'Pilot Project Budget'!Q30/(H270+I270)*'W1'!I270*'W1'!I$247,0)</f>
        <v>#REF!</v>
      </c>
      <c r="I323" s="300"/>
      <c r="J323" s="302" t="str">
        <f>IF(J297=0,"",ROUND('Pilot Project Budget'!R30/(J270+K270)*'W1'!J270*'W1'!J$247+'Pilot Project Budget'!R30/(J270+K270)*'W1'!K270*'W1'!K$247,0))</f>
        <v/>
      </c>
      <c r="K323" s="300"/>
    </row>
    <row r="324" spans="1:11" x14ac:dyDescent="0.2">
      <c r="A324" s="82">
        <f t="shared" si="77"/>
        <v>0</v>
      </c>
      <c r="B324" s="302" t="e">
        <f>IF((B271+C271)&lt;&gt;0,ROUND('Pilot Project Budget'!N31/'W1'!H200*'W1'!B271*'W1'!$B$247+'Pilot Project Budget'!N31/'W1'!H200*'W1'!C271*'W1'!$C$247,0),0)</f>
        <v>#REF!</v>
      </c>
      <c r="C324" s="300"/>
      <c r="D324" s="302" t="e">
        <f>ROUND('Pilot Project Budget'!O31/(D271+E271)*'W1'!D271*'W1'!D$247+'Pilot Project Budget'!O31/(D271+E271)*'W1'!E271*'W1'!E$247,0)</f>
        <v>#REF!</v>
      </c>
      <c r="E324" s="300"/>
      <c r="F324" s="302" t="e">
        <f>ROUND('Pilot Project Budget'!P31/(F271+G271)*'W1'!F271*'W1'!F$247+'Pilot Project Budget'!P31/(F271+G271)*'W1'!G271*'W1'!G$247,0)</f>
        <v>#REF!</v>
      </c>
      <c r="G324" s="300"/>
      <c r="H324" s="302" t="e">
        <f>ROUND('Pilot Project Budget'!Q31/(H271+I271)*'W1'!H271*'W1'!H$247+'Pilot Project Budget'!Q31/(H271+I271)*'W1'!I271*'W1'!I$247,0)</f>
        <v>#REF!</v>
      </c>
      <c r="I324" s="300"/>
      <c r="J324" s="302" t="str">
        <f>IF(J298=0,"",ROUND('Pilot Project Budget'!R31/(J271+K271)*'W1'!J271*'W1'!J$247+'Pilot Project Budget'!R31/(J271+K271)*'W1'!K271*'W1'!K$247,0))</f>
        <v/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>
        <f>IF('W1'!$C$5=0,"",IF(AND('Pilot Project Budget'!$S$4="Multi",'Pilot Project Budget'!$R$4="FY"),ROUND(((1+'Pilot Project Budget'!$M8)^'W1'!$B$20*'W1'!$C$9+(1+'Pilot Project Budget'!$M8)^('W1'!$B$20+1)*'W1'!$C$10)/('W1'!$C$5)*'Pilot Project Budget'!$E8,0),(IF(AND('Pilot Project Budget'!$S$4="Multi",'Pilot Project Budget'!$R$4="PY"),ROUND('Pilot Project Budget'!$E8/('W1'!$C$5)*'W1'!$C$5,0),(IF(AND('Pilot Project Budget'!$S$4&lt;&gt;"Multi",'Pilot Project Budget'!$R$4="FY"),ROUND(((1+'Pilot Project Budget'!$S$4)^'W1'!$B$20*'W1'!$C$9+(1+'Pilot Project Budget'!$S$4)^('W1'!$B$20+1)*'W1'!$C$10)/'W1'!$C$5*'Pilot Project Budget'!$E8,0),ROUND('Pilot Project Budget'!$E8/'W1'!$C$5*'W1'!$C$5,0)))))))</f>
        <v>0</v>
      </c>
      <c r="C328" s="300"/>
      <c r="D328" s="302">
        <f>IF('W1'!$D$5=0,"",IF($C$4=$D$4,(IF(AND('Pilot Project Budget'!$S$4="Multi",'Pilot Project Budget'!$R$4="FY"),ROUND(((1+'Pilot Project Budget'!$M8)^('W1'!$B$20)*'W1'!$D$9+(1+'Pilot Project Budget'!$M8)^('W1'!$B$20+1)*'W1'!$D$10)/'W1'!$D$5*'Pilot Project Budget'!$E8,0),(IF(AND('Pilot Project Budget'!$S$4="Multi",'Pilot Project Budget'!$R$4="PY"),ROUND('Pilot Project Budget'!$E8*(1+'Pilot Project Budget'!$M8)/'W1'!$D$5*'W1'!$D$5,0),(IF(AND('Pilot Project Budget'!$S$4&lt;&gt;"Multi",'Pilot Project Budget'!$R$4="FY"),ROUND(((1+'Pilot Project Budget'!$S$4)^('W1'!$B$20)*'W1'!$D$9+(1+'Pilot Project Budget'!$S$4)^('W1'!$B$20+1)*'W1'!$D$10)/'W1'!$D$5*'Pilot Project Budget'!$E8,0),ROUND('Pilot Project Budget'!$E8*(1+'Pilot Project Budget'!$S$4)/'W1'!$D$5*'W1'!$D$5,0))))))),(IF(AND('Pilot Project Budget'!$S$4="Multi",'Pilot Project Budget'!$R$4="FY"),ROUND(((1+'Pilot Project Budget'!$M8)^('W1'!$B$20+1)*'W1'!$D$9+(1+'Pilot Project Budget'!$M8)^('W1'!$B$20+2)*'W1'!$D$10)/'W1'!$D$5*'Pilot Project Budget'!$E8,0),(IF(AND('Pilot Project Budget'!$S$4="Multi",'Pilot Project Budget'!$R$4="PY"),ROUND('Pilot Project Budget'!$E8*(1+'Pilot Project Budget'!$M8)/'W1'!$D$5*'W1'!$D$5,0),(IF(AND('Pilot Project Budget'!$S$4&lt;&gt;"Multi",'Pilot Project Budget'!$R$4="FY"),ROUND(((1+'Pilot Project Budget'!$S$4)^('W1'!$B$20+1)*'W1'!$D$9+(1+'Pilot Project Budget'!$S$4)^('W1'!$B$20+2)*'W1'!$D$10)/'W1'!$D$5*'Pilot Project Budget'!$E8,0),ROUND('Pilot Project Budget'!$E8*(1+'Pilot Project Budget'!$S$4)/'W1'!$D$5*'W1'!$D$5,0)))))))))</f>
        <v>0</v>
      </c>
      <c r="E328" s="300"/>
      <c r="F328" s="302" t="str">
        <f>IF('W1'!$E$5=0,"",IF($C$4=$D$4,(IF(AND('Pilot Project Budget'!$S$4="Multi",'Pilot Project Budget'!$R$4="FY"),ROUND(((1+'Pilot Project Budget'!$M8)^('W1'!$B$20+1)*'W1'!$E$9+(1+'Pilot Project Budget'!$M8)^('W1'!$B$20+3)*'W1'!$E$10)/'W1'!$E$5*'Pilot Project Budget'!$E8,0),(IF(AND('Pilot Project Budget'!$S$4="Multi",'Pilot Project Budget'!$R$4="PY"),ROUND('Pilot Project Budget'!$E8*((1+'Pilot Project Budget'!$M8)^2)/'W1'!$E$5*'W1'!$E$5,0),(IF(AND('Pilot Project Budget'!$S$4&lt;&gt;"Multi",'Pilot Project Budget'!$R$4="FY"),ROUND(((1+'Pilot Project Budget'!$S$4)^('W1'!$B$20+1)*'W1'!$E$9+(1+'Pilot Project Budget'!$S$4)^('W1'!$B$20+2)*'W1'!$E$10)/'W1'!$E$5*'Pilot Project Budget'!$E8,0),ROUND('Pilot Project Budget'!$E8*((1+'Pilot Project Budget'!$S$4)^2)/'W1'!$E$5*'W1'!$E$5,0))))))),(IF(AND('Pilot Project Budget'!$S$4="Multi",'Pilot Project Budget'!$R$4="FY"),ROUND(((1+'Pilot Project Budget'!$M8)^('W1'!$B$20+2)*'W1'!$E$9+(1+'Pilot Project Budget'!$M8)^('W1'!$B$20+3)*'W1'!$E$10)/'W1'!$E$5*'Pilot Project Budget'!$E8,0),(IF(AND('Pilot Project Budget'!$S$4="Multi",'Pilot Project Budget'!$R$4="PY"),ROUND('Pilot Project Budget'!$E8*((1+'Pilot Project Budget'!$M8)^2)/'W1'!$E$5*'W1'!$E$5,0),(IF(AND('Pilot Project Budget'!$S$4&lt;&gt;"Multi",'Pilot Project Budget'!$R$4="FY"),ROUND(((1+'Pilot Project Budget'!$S$4)^('W1'!$B$20+2)*'W1'!$E$9+(1+'Pilot Project Budget'!$S$4)^('W1'!$B$20+3)*'W1'!$E$10)/'W1'!$E$5*'Pilot Project Budget'!$E8,0),ROUND('Pilot Project Budget'!$E8*((1+'Pilot Project Budget'!$S$4)^2)/'W1'!$E$5*'W1'!$E$5,0)))))))))</f>
        <v/>
      </c>
      <c r="G328" s="300"/>
      <c r="H328" s="302" t="str">
        <f>IF('W1'!$F$5=0,"",IF($C$4=$D$4,(IF(AND('Pilot Project Budget'!$S$4="Multi",'Pilot Project Budget'!$R$4="FY"),ROUND(((1+'Pilot Project Budget'!$M8)^('W1'!$B$20+2)*'W1'!$F$9+(1+'Pilot Project Budget'!$M8)^('W1'!$B$20+3)*'W1'!$F$10)/'W1'!$F$5*'Pilot Project Budget'!$E8,0),(IF(AND('Pilot Project Budget'!$S$4="Multi",'Pilot Project Budget'!$R$4="PY"),ROUND('Pilot Project Budget'!$E8*((1+'Pilot Project Budget'!$M8)^3)/'W1'!$F$5*'W1'!$F$5,0),(IF(AND('Pilot Project Budget'!$S$4&lt;&gt;"Multi",'Pilot Project Budget'!$R$4="FY"),ROUND(((1+'Pilot Project Budget'!$S$4)^('W1'!$B$20+2)*'W1'!$F$9+(1+'Pilot Project Budget'!$S$4)^('W1'!$B$20+3)*'W1'!$F$10)/'W1'!$F$5*'Pilot Project Budget'!$E8,0),ROUND('Pilot Project Budget'!$E8*((1+'Pilot Project Budget'!$S$4)^3)/'W1'!$F$5*'W1'!$F$5,0))))))),(IF(AND('Pilot Project Budget'!$S$4="Multi",'Pilot Project Budget'!$R$4="FY"),ROUND(((1+'Pilot Project Budget'!$M8)^('W1'!$B$20+3)*'W1'!$F$9+(1+'Pilot Project Budget'!$M8)^('W1'!$B$20+4)*'W1'!$F$10)/'W1'!$F$5*'Pilot Project Budget'!$E8,0),(IF(AND('Pilot Project Budget'!$S$4="Multi",'Pilot Project Budget'!$R$4="PY"),ROUND('Pilot Project Budget'!$E8*((1+'Pilot Project Budget'!$M8)^3)/'W1'!$F$5*'W1'!$F$5,0),(IF(AND('Pilot Project Budget'!$S$4&lt;&gt;"Multi",'Pilot Project Budget'!$R$4="FY"),ROUND(((1+'Pilot Project Budget'!$S$4)^('W1'!$B$20+3)*'W1'!$F$9+(1+'Pilot Project Budget'!$S$4)^('W1'!$B$20+4)*'W1'!$F$10)/'W1'!$F$5*'Pilot Project Budget'!$E8,0),ROUND('Pilot Project Budget'!$E8*((1+'Pilot Project Budget'!$S$4)^3)/'W1'!$F$5*'W1'!$F$5,0)))))))))</f>
        <v/>
      </c>
      <c r="I328" s="300"/>
      <c r="J328" s="302" t="str">
        <f>IF('W1'!$G$5=0,"",IF($C$4=$D$4,(IF(AND('Pilot Project Budget'!$S$4="Multi",'Pilot Project Budget'!$R$4="FY"),ROUND(((1+'Pilot Project Budget'!$M8)^('W1'!$B$20+3)*'W1'!$G$9+(1+'Pilot Project Budget'!$M8)^('W1'!$B$20+4)*'W1'!$G$10)/'W1'!$G$5*'Pilot Project Budget'!$E8,0),(IF(AND('Pilot Project Budget'!$S$4="Multi",'Pilot Project Budget'!$R$4="PY"),ROUND('Pilot Project Budget'!$E8*((1+'Pilot Project Budget'!$M8)^4)/'W1'!$G$5*'W1'!$G$5,0),(IF(AND('Pilot Project Budget'!$S$4&lt;&gt;"Multi",'Pilot Project Budget'!$R$4="FY"),ROUND(((1+'Pilot Project Budget'!$S$4)^('W1'!$B$20+3)*'W1'!$G$9+(1+'Pilot Project Budget'!$S$4)^('W1'!$B$20+4)*'W1'!$G$10)/'W1'!$G$5*'Pilot Project Budget'!$E8,0),ROUND('Pilot Project Budget'!$E8*((1+'Pilot Project Budget'!$S$4)^4)/'W1'!$G$5*'W1'!$G$5,0))))))),(IF(AND('Pilot Project Budget'!$S$4="Multi",'Pilot Project Budget'!$R$4="FY"),ROUND(((1+'Pilot Project Budget'!$M8)^('W1'!$B$20+4)*'W1'!$G$9+(1+'Pilot Project Budget'!$M8)^('W1'!$B$20+5)*'W1'!$G$10)/'W1'!$G$5*'Pilot Project Budget'!$E8,0),(IF(AND('Pilot Project Budget'!$S$4="Multi",'Pilot Project Budget'!$R$4="PY"),ROUND('Pilot Project Budget'!$E8*((1+'Pilot Project Budget'!$M8)^4)/'W1'!$G$5*'W1'!$G$5,0),(IF(AND('Pilot Project Budget'!$S$4&lt;&gt;"Multi",'Pilot Project Budget'!$R$4="FY"),ROUND(((1+'Pilot Project Budget'!$S$4)^('W1'!$B$20+4)*'W1'!$G$9+(1+'Pilot Project Budget'!$S$4)^('W1'!$B$20+5)*'W1'!$G$10)/'W1'!$G$5*'Pilot Project Budget'!$E8,0),ROUND('Pilot Project Budget'!$E8*((1+'Pilot Project Budget'!$S$4)^4)/'W1'!$G$5*'W1'!$G$5,0)))))))))</f>
        <v/>
      </c>
      <c r="K328" s="300"/>
    </row>
    <row r="329" spans="1:11" x14ac:dyDescent="0.2">
      <c r="A329" s="82" t="e">
        <f>#REF!</f>
        <v>#REF!</v>
      </c>
      <c r="B329" s="302">
        <f>IF('W1'!$C$5=0,"",IF(AND('Pilot Project Budget'!$S$4="Multi",'Pilot Project Budget'!$R$4="FY"),ROUND(((1+'Pilot Project Budget'!$M9)^'W1'!$B$20*'W1'!$C$9+(1+'Pilot Project Budget'!$M9)^('W1'!$B$20+1)*'W1'!$C$10)/('W1'!$C$5)*'Pilot Project Budget'!$E9,0),(IF(AND('Pilot Project Budget'!$S$4="Multi",'Pilot Project Budget'!$R$4="PY"),ROUND('Pilot Project Budget'!$E9/('W1'!$C$5)*'W1'!$C$5,0),(IF(AND('Pilot Project Budget'!$S$4&lt;&gt;"Multi",'Pilot Project Budget'!$R$4="FY"),ROUND(((1+'Pilot Project Budget'!$S$4)^'W1'!$B$20*'W1'!$C$9+(1+'Pilot Project Budget'!$S$4)^('W1'!$B$20+1)*'W1'!$C$10)/'W1'!$C$5*'Pilot Project Budget'!$E9,0),ROUND('Pilot Project Budget'!$E9/'W1'!$C$5*'W1'!$C$5,0)))))))</f>
        <v>0</v>
      </c>
      <c r="C329" s="300"/>
      <c r="D329" s="302">
        <f>IF('W1'!$D$5=0,"",IF($C$4=$D$4,(IF(AND('Pilot Project Budget'!$S$4="Multi",'Pilot Project Budget'!$R$4="FY"),ROUND(((1+'Pilot Project Budget'!$M9)^('W1'!$B$20)*'W1'!$D$9+(1+'Pilot Project Budget'!$M9)^('W1'!$B$20+1)*'W1'!$D$10)/'W1'!$D$5*'Pilot Project Budget'!$E9,0),(IF(AND('Pilot Project Budget'!$S$4="Multi",'Pilot Project Budget'!$R$4="PY"),ROUND('Pilot Project Budget'!$E9*(1+'Pilot Project Budget'!$M9)/'W1'!$D$5*'W1'!$D$5,0),(IF(AND('Pilot Project Budget'!$S$4&lt;&gt;"Multi",'Pilot Project Budget'!$R$4="FY"),ROUND(((1+'Pilot Project Budget'!$S$4)^('W1'!$B$20)*'W1'!$D$9+(1+'Pilot Project Budget'!$S$4)^('W1'!$B$20+1)*'W1'!$D$10)/'W1'!$D$5*'Pilot Project Budget'!$E9,0),ROUND('Pilot Project Budget'!$E9*(1+'Pilot Project Budget'!$S$4)/'W1'!$D$5*'W1'!$D$5,0))))))),(IF(AND('Pilot Project Budget'!$S$4="Multi",'Pilot Project Budget'!$R$4="FY"),ROUND(((1+'Pilot Project Budget'!$M9)^('W1'!$B$20+1)*'W1'!$D$9+(1+'Pilot Project Budget'!$M9)^('W1'!$B$20+2)*'W1'!$D$10)/'W1'!$D$5*'Pilot Project Budget'!$E9,0),(IF(AND('Pilot Project Budget'!$S$4="Multi",'Pilot Project Budget'!$R$4="PY"),ROUND('Pilot Project Budget'!$E9*(1+'Pilot Project Budget'!$M9)/'W1'!$D$5*'W1'!$D$5,0),(IF(AND('Pilot Project Budget'!$S$4&lt;&gt;"Multi",'Pilot Project Budget'!$R$4="FY"),ROUND(((1+'Pilot Project Budget'!$S$4)^('W1'!$B$20+1)*'W1'!$D$9+(1+'Pilot Project Budget'!$S$4)^('W1'!$B$20+2)*'W1'!$D$10)/'W1'!$D$5*'Pilot Project Budget'!$E9,0),ROUND('Pilot Project Budget'!$E9*(1+'Pilot Project Budget'!$S$4)/'W1'!$D$5*'W1'!$D$5,0)))))))))</f>
        <v>0</v>
      </c>
      <c r="E329" s="300"/>
      <c r="F329" s="302" t="str">
        <f>IF('W1'!$E$5=0,"",IF($C$4=$D$4,(IF(AND('Pilot Project Budget'!$S$4="Multi",'Pilot Project Budget'!$R$4="FY"),ROUND(((1+'Pilot Project Budget'!$M9)^('W1'!$B$20+1)*'W1'!$E$9+(1+'Pilot Project Budget'!$M9)^('W1'!$B$20+3)*'W1'!$E$10)/'W1'!$E$5*'Pilot Project Budget'!$E9,0),(IF(AND('Pilot Project Budget'!$S$4="Multi",'Pilot Project Budget'!$R$4="PY"),ROUND('Pilot Project Budget'!$E9*((1+'Pilot Project Budget'!$M9)^2)/'W1'!$E$5*'W1'!$E$5,0),(IF(AND('Pilot Project Budget'!$S$4&lt;&gt;"Multi",'Pilot Project Budget'!$R$4="FY"),ROUND(((1+'Pilot Project Budget'!$S$4)^('W1'!$B$20+1)*'W1'!$E$9+(1+'Pilot Project Budget'!$S$4)^('W1'!$B$20+2)*'W1'!$E$10)/'W1'!$E$5*'Pilot Project Budget'!$E9,0),ROUND('Pilot Project Budget'!$E9*((1+'Pilot Project Budget'!$S$4)^2)/'W1'!$E$5*'W1'!$E$5,0))))))),(IF(AND('Pilot Project Budget'!$S$4="Multi",'Pilot Project Budget'!$R$4="FY"),ROUND(((1+'Pilot Project Budget'!$M9)^('W1'!$B$20+2)*'W1'!$E$9+(1+'Pilot Project Budget'!$M9)^('W1'!$B$20+3)*'W1'!$E$10)/'W1'!$E$5*'Pilot Project Budget'!$E9,0),(IF(AND('Pilot Project Budget'!$S$4="Multi",'Pilot Project Budget'!$R$4="PY"),ROUND('Pilot Project Budget'!$E9*((1+'Pilot Project Budget'!$M9)^2)/'W1'!$E$5*'W1'!$E$5,0),(IF(AND('Pilot Project Budget'!$S$4&lt;&gt;"Multi",'Pilot Project Budget'!$R$4="FY"),ROUND(((1+'Pilot Project Budget'!$S$4)^('W1'!$B$20+2)*'W1'!$E$9+(1+'Pilot Project Budget'!$S$4)^('W1'!$B$20+3)*'W1'!$E$10)/'W1'!$E$5*'Pilot Project Budget'!$E9,0),ROUND('Pilot Project Budget'!$E9*((1+'Pilot Project Budget'!$S$4)^2)/'W1'!$E$5*'W1'!$E$5,0)))))))))</f>
        <v/>
      </c>
      <c r="G329" s="300"/>
      <c r="H329" s="302" t="str">
        <f>IF('W1'!$F$5=0,"",IF($C$4=$D$4,(IF(AND('Pilot Project Budget'!$S$4="Multi",'Pilot Project Budget'!$R$4="FY"),ROUND(((1+'Pilot Project Budget'!$M9)^('W1'!$B$20+2)*'W1'!$F$9+(1+'Pilot Project Budget'!$M9)^('W1'!$B$20+3)*'W1'!$F$10)/'W1'!$F$5*'Pilot Project Budget'!$E9,0),(IF(AND('Pilot Project Budget'!$S$4="Multi",'Pilot Project Budget'!$R$4="PY"),ROUND('Pilot Project Budget'!$E9*((1+'Pilot Project Budget'!$M9)^3)/'W1'!$F$5*'W1'!$F$5,0),(IF(AND('Pilot Project Budget'!$S$4&lt;&gt;"Multi",'Pilot Project Budget'!$R$4="FY"),ROUND(((1+'Pilot Project Budget'!$S$4)^('W1'!$B$20+2)*'W1'!$F$9+(1+'Pilot Project Budget'!$S$4)^('W1'!$B$20+3)*'W1'!$F$10)/'W1'!$F$5*'Pilot Project Budget'!$E9,0),ROUND('Pilot Project Budget'!$E9*((1+'Pilot Project Budget'!$S$4)^3)/'W1'!$F$5*'W1'!$F$5,0))))))),(IF(AND('Pilot Project Budget'!$S$4="Multi",'Pilot Project Budget'!$R$4="FY"),ROUND(((1+'Pilot Project Budget'!$M9)^('W1'!$B$20+3)*'W1'!$F$9+(1+'Pilot Project Budget'!$M9)^('W1'!$B$20+4)*'W1'!$F$10)/'W1'!$F$5*'Pilot Project Budget'!$E9,0),(IF(AND('Pilot Project Budget'!$S$4="Multi",'Pilot Project Budget'!$R$4="PY"),ROUND('Pilot Project Budget'!$E9*((1+'Pilot Project Budget'!$M9)^3)/'W1'!$F$5*'W1'!$F$5,0),(IF(AND('Pilot Project Budget'!$S$4&lt;&gt;"Multi",'Pilot Project Budget'!$R$4="FY"),ROUND(((1+'Pilot Project Budget'!$S$4)^('W1'!$B$20+3)*'W1'!$F$9+(1+'Pilot Project Budget'!$S$4)^('W1'!$B$20+4)*'W1'!$F$10)/'W1'!$F$5*'Pilot Project Budget'!$E9,0),ROUND('Pilot Project Budget'!$E9*((1+'Pilot Project Budget'!$S$4)^3)/'W1'!$F$5*'W1'!$F$5,0)))))))))</f>
        <v/>
      </c>
      <c r="I329" s="300"/>
      <c r="J329" s="302" t="str">
        <f>IF('W1'!$G$5=0,"",IF($C$4=$D$4,(IF(AND('Pilot Project Budget'!$S$4="Multi",'Pilot Project Budget'!$R$4="FY"),ROUND(((1+'Pilot Project Budget'!$M9)^('W1'!$B$20+3)*'W1'!$G$9+(1+'Pilot Project Budget'!$M9)^('W1'!$B$20+4)*'W1'!$G$10)/'W1'!$G$5*'Pilot Project Budget'!$E9,0),(IF(AND('Pilot Project Budget'!$S$4="Multi",'Pilot Project Budget'!$R$4="PY"),ROUND('Pilot Project Budget'!$E9*((1+'Pilot Project Budget'!$M9)^4)/'W1'!$G$5*'W1'!$G$5,0),(IF(AND('Pilot Project Budget'!$S$4&lt;&gt;"Multi",'Pilot Project Budget'!$R$4="FY"),ROUND(((1+'Pilot Project Budget'!$S$4)^('W1'!$B$20+3)*'W1'!$G$9+(1+'Pilot Project Budget'!$S$4)^('W1'!$B$20+4)*'W1'!$G$10)/'W1'!$G$5*'Pilot Project Budget'!$E9,0),ROUND('Pilot Project Budget'!$E9*((1+'Pilot Project Budget'!$S$4)^4)/'W1'!$G$5*'W1'!$G$5,0))))))),(IF(AND('Pilot Project Budget'!$S$4="Multi",'Pilot Project Budget'!$R$4="FY"),ROUND(((1+'Pilot Project Budget'!$M9)^('W1'!$B$20+4)*'W1'!$G$9+(1+'Pilot Project Budget'!$M9)^('W1'!$B$20+5)*'W1'!$G$10)/'W1'!$G$5*'Pilot Project Budget'!$E9,0),(IF(AND('Pilot Project Budget'!$S$4="Multi",'Pilot Project Budget'!$R$4="PY"),ROUND('Pilot Project Budget'!$E9*((1+'Pilot Project Budget'!$M9)^4)/'W1'!$G$5*'W1'!$G$5,0),(IF(AND('Pilot Project Budget'!$S$4&lt;&gt;"Multi",'Pilot Project Budget'!$R$4="FY"),ROUND(((1+'Pilot Project Budget'!$S$4)^('W1'!$B$20+4)*'W1'!$G$9+(1+'Pilot Project Budget'!$S$4)^('W1'!$B$20+5)*'W1'!$G$10)/'W1'!$G$5*'Pilot Project Budget'!$E9,0),ROUND('Pilot Project Budget'!$E9*((1+'Pilot Project Budget'!$S$4)^4)/'W1'!$G$5*'W1'!$G$5,0)))))))))</f>
        <v/>
      </c>
      <c r="K329" s="300"/>
    </row>
    <row r="330" spans="1:11" x14ac:dyDescent="0.2">
      <c r="A330" s="82" t="e">
        <f>#REF!</f>
        <v>#REF!</v>
      </c>
      <c r="B330" s="302">
        <f>IF('W1'!$C$5=0,"",IF(AND('Pilot Project Budget'!$S$4="Multi",'Pilot Project Budget'!$R$4="FY"),ROUND(((1+'Pilot Project Budget'!$M10)^'W1'!$B$20*'W1'!$C$9+(1+'Pilot Project Budget'!$M10)^('W1'!$B$20+1)*'W1'!$C$10)/('W1'!$C$5)*'Pilot Project Budget'!$E10,0),(IF(AND('Pilot Project Budget'!$S$4="Multi",'Pilot Project Budget'!$R$4="PY"),ROUND('Pilot Project Budget'!$E10/('W1'!$C$5)*'W1'!$C$5,0),(IF(AND('Pilot Project Budget'!$S$4&lt;&gt;"Multi",'Pilot Project Budget'!$R$4="FY"),ROUND(((1+'Pilot Project Budget'!$S$4)^'W1'!$B$20*'W1'!$C$9+(1+'Pilot Project Budget'!$S$4)^('W1'!$B$20+1)*'W1'!$C$10)/'W1'!$C$5*'Pilot Project Budget'!$E10,0),ROUND('Pilot Project Budget'!$E10/'W1'!$C$5*'W1'!$C$5,0)))))))</f>
        <v>0</v>
      </c>
      <c r="C330" s="300"/>
      <c r="D330" s="302">
        <f>IF('W1'!$D$5=0,"",IF($C$4=$D$4,(IF(AND('Pilot Project Budget'!$S$4="Multi",'Pilot Project Budget'!$R$4="FY"),ROUND(((1+'Pilot Project Budget'!$M10)^('W1'!$B$20)*'W1'!$D$9+(1+'Pilot Project Budget'!$M10)^('W1'!$B$20+1)*'W1'!$D$10)/'W1'!$D$5*'Pilot Project Budget'!$E10,0),(IF(AND('Pilot Project Budget'!$S$4="Multi",'Pilot Project Budget'!$R$4="PY"),ROUND('Pilot Project Budget'!$E10*(1+'Pilot Project Budget'!$M10)/'W1'!$D$5*'W1'!$D$5,0),(IF(AND('Pilot Project Budget'!$S$4&lt;&gt;"Multi",'Pilot Project Budget'!$R$4="FY"),ROUND(((1+'Pilot Project Budget'!$S$4)^('W1'!$B$20)*'W1'!$D$9+(1+'Pilot Project Budget'!$S$4)^('W1'!$B$20+1)*'W1'!$D$10)/'W1'!$D$5*'Pilot Project Budget'!$E10,0),ROUND('Pilot Project Budget'!$E10*(1+'Pilot Project Budget'!$S$4)/'W1'!$D$5*'W1'!$D$5,0))))))),(IF(AND('Pilot Project Budget'!$S$4="Multi",'Pilot Project Budget'!$R$4="FY"),ROUND(((1+'Pilot Project Budget'!$M10)^('W1'!$B$20+1)*'W1'!$D$9+(1+'Pilot Project Budget'!$M10)^('W1'!$B$20+2)*'W1'!$D$10)/'W1'!$D$5*'Pilot Project Budget'!$E10,0),(IF(AND('Pilot Project Budget'!$S$4="Multi",'Pilot Project Budget'!$R$4="PY"),ROUND('Pilot Project Budget'!$E10*(1+'Pilot Project Budget'!$M10)/'W1'!$D$5*'W1'!$D$5,0),(IF(AND('Pilot Project Budget'!$S$4&lt;&gt;"Multi",'Pilot Project Budget'!$R$4="FY"),ROUND(((1+'Pilot Project Budget'!$S$4)^('W1'!$B$20+1)*'W1'!$D$9+(1+'Pilot Project Budget'!$S$4)^('W1'!$B$20+2)*'W1'!$D$10)/'W1'!$D$5*'Pilot Project Budget'!$E10,0),ROUND('Pilot Project Budget'!$E10*(1+'Pilot Project Budget'!$S$4)/'W1'!$D$5*'W1'!$D$5,0)))))))))</f>
        <v>0</v>
      </c>
      <c r="E330" s="300"/>
      <c r="F330" s="302" t="str">
        <f>IF('W1'!$E$5=0,"",IF($C$4=$D$4,(IF(AND('Pilot Project Budget'!$S$4="Multi",'Pilot Project Budget'!$R$4="FY"),ROUND(((1+'Pilot Project Budget'!$M10)^('W1'!$B$20+1)*'W1'!$E$9+(1+'Pilot Project Budget'!$M10)^('W1'!$B$20+3)*'W1'!$E$10)/'W1'!$E$5*'Pilot Project Budget'!$E10,0),(IF(AND('Pilot Project Budget'!$S$4="Multi",'Pilot Project Budget'!$R$4="PY"),ROUND('Pilot Project Budget'!$E10*((1+'Pilot Project Budget'!$M10)^2)/'W1'!$E$5*'W1'!$E$5,0),(IF(AND('Pilot Project Budget'!$S$4&lt;&gt;"Multi",'Pilot Project Budget'!$R$4="FY"),ROUND(((1+'Pilot Project Budget'!$S$4)^('W1'!$B$20+1)*'W1'!$E$9+(1+'Pilot Project Budget'!$S$4)^('W1'!$B$20+2)*'W1'!$E$10)/'W1'!$E$5*'Pilot Project Budget'!$E10,0),ROUND('Pilot Project Budget'!$E10*((1+'Pilot Project Budget'!$S$4)^2)/'W1'!$E$5*'W1'!$E$5,0))))))),(IF(AND('Pilot Project Budget'!$S$4="Multi",'Pilot Project Budget'!$R$4="FY"),ROUND(((1+'Pilot Project Budget'!$M10)^('W1'!$B$20+2)*'W1'!$E$9+(1+'Pilot Project Budget'!$M10)^('W1'!$B$20+3)*'W1'!$E$10)/'W1'!$E$5*'Pilot Project Budget'!$E10,0),(IF(AND('Pilot Project Budget'!$S$4="Multi",'Pilot Project Budget'!$R$4="PY"),ROUND('Pilot Project Budget'!$E10*((1+'Pilot Project Budget'!$M10)^2)/'W1'!$E$5*'W1'!$E$5,0),(IF(AND('Pilot Project Budget'!$S$4&lt;&gt;"Multi",'Pilot Project Budget'!$R$4="FY"),ROUND(((1+'Pilot Project Budget'!$S$4)^('W1'!$B$20+2)*'W1'!$E$9+(1+'Pilot Project Budget'!$S$4)^('W1'!$B$20+3)*'W1'!$E$10)/'W1'!$E$5*'Pilot Project Budget'!$E10,0),ROUND('Pilot Project Budget'!$E10*((1+'Pilot Project Budget'!$S$4)^2)/'W1'!$E$5*'W1'!$E$5,0)))))))))</f>
        <v/>
      </c>
      <c r="G330" s="300"/>
      <c r="H330" s="302" t="str">
        <f>IF('W1'!$F$5=0,"",IF($C$4=$D$4,(IF(AND('Pilot Project Budget'!$S$4="Multi",'Pilot Project Budget'!$R$4="FY"),ROUND(((1+'Pilot Project Budget'!$M10)^('W1'!$B$20+2)*'W1'!$F$9+(1+'Pilot Project Budget'!$M10)^('W1'!$B$20+3)*'W1'!$F$10)/'W1'!$F$5*'Pilot Project Budget'!$E10,0),(IF(AND('Pilot Project Budget'!$S$4="Multi",'Pilot Project Budget'!$R$4="PY"),ROUND('Pilot Project Budget'!$E10*((1+'Pilot Project Budget'!$M10)^3)/'W1'!$F$5*'W1'!$F$5,0),(IF(AND('Pilot Project Budget'!$S$4&lt;&gt;"Multi",'Pilot Project Budget'!$R$4="FY"),ROUND(((1+'Pilot Project Budget'!$S$4)^('W1'!$B$20+2)*'W1'!$F$9+(1+'Pilot Project Budget'!$S$4)^('W1'!$B$20+3)*'W1'!$F$10)/'W1'!$F$5*'Pilot Project Budget'!$E10,0),ROUND('Pilot Project Budget'!$E10*((1+'Pilot Project Budget'!$S$4)^3)/'W1'!$F$5*'W1'!$F$5,0))))))),(IF(AND('Pilot Project Budget'!$S$4="Multi",'Pilot Project Budget'!$R$4="FY"),ROUND(((1+'Pilot Project Budget'!$M10)^('W1'!$B$20+3)*'W1'!$F$9+(1+'Pilot Project Budget'!$M10)^('W1'!$B$20+4)*'W1'!$F$10)/'W1'!$F$5*'Pilot Project Budget'!$E10,0),(IF(AND('Pilot Project Budget'!$S$4="Multi",'Pilot Project Budget'!$R$4="PY"),ROUND('Pilot Project Budget'!$E10*((1+'Pilot Project Budget'!$M10)^3)/'W1'!$F$5*'W1'!$F$5,0),(IF(AND('Pilot Project Budget'!$S$4&lt;&gt;"Multi",'Pilot Project Budget'!$R$4="FY"),ROUND(((1+'Pilot Project Budget'!$S$4)^('W1'!$B$20+3)*'W1'!$F$9+(1+'Pilot Project Budget'!$S$4)^('W1'!$B$20+4)*'W1'!$F$10)/'W1'!$F$5*'Pilot Project Budget'!$E10,0),ROUND('Pilot Project Budget'!$E10*((1+'Pilot Project Budget'!$S$4)^3)/'W1'!$F$5*'W1'!$F$5,0)))))))))</f>
        <v/>
      </c>
      <c r="I330" s="300"/>
      <c r="J330" s="302" t="str">
        <f>IF('W1'!$G$5=0,"",IF($C$4=$D$4,(IF(AND('Pilot Project Budget'!$S$4="Multi",'Pilot Project Budget'!$R$4="FY"),ROUND(((1+'Pilot Project Budget'!$M10)^('W1'!$B$20+3)*'W1'!$G$9+(1+'Pilot Project Budget'!$M10)^('W1'!$B$20+4)*'W1'!$G$10)/'W1'!$G$5*'Pilot Project Budget'!$E10,0),(IF(AND('Pilot Project Budget'!$S$4="Multi",'Pilot Project Budget'!$R$4="PY"),ROUND('Pilot Project Budget'!$E10*((1+'Pilot Project Budget'!$M10)^4)/'W1'!$G$5*'W1'!$G$5,0),(IF(AND('Pilot Project Budget'!$S$4&lt;&gt;"Multi",'Pilot Project Budget'!$R$4="FY"),ROUND(((1+'Pilot Project Budget'!$S$4)^('W1'!$B$20+3)*'W1'!$G$9+(1+'Pilot Project Budget'!$S$4)^('W1'!$B$20+4)*'W1'!$G$10)/'W1'!$G$5*'Pilot Project Budget'!$E10,0),ROUND('Pilot Project Budget'!$E10*((1+'Pilot Project Budget'!$S$4)^4)/'W1'!$G$5*'W1'!$G$5,0))))))),(IF(AND('Pilot Project Budget'!$S$4="Multi",'Pilot Project Budget'!$R$4="FY"),ROUND(((1+'Pilot Project Budget'!$M10)^('W1'!$B$20+4)*'W1'!$G$9+(1+'Pilot Project Budget'!$M10)^('W1'!$B$20+5)*'W1'!$G$10)/'W1'!$G$5*'Pilot Project Budget'!$E10,0),(IF(AND('Pilot Project Budget'!$S$4="Multi",'Pilot Project Budget'!$R$4="PY"),ROUND('Pilot Project Budget'!$E10*((1+'Pilot Project Budget'!$M10)^4)/'W1'!$G$5*'W1'!$G$5,0),(IF(AND('Pilot Project Budget'!$S$4&lt;&gt;"Multi",'Pilot Project Budget'!$R$4="FY"),ROUND(((1+'Pilot Project Budget'!$S$4)^('W1'!$B$20+4)*'W1'!$G$9+(1+'Pilot Project Budget'!$S$4)^('W1'!$B$20+5)*'W1'!$G$10)/'W1'!$G$5*'Pilot Project Budget'!$E10,0),ROUND('Pilot Project Budget'!$E10*((1+'Pilot Project Budget'!$S$4)^4)/'W1'!$G$5*'W1'!$G$5,0)))))))))</f>
        <v/>
      </c>
      <c r="K330" s="300"/>
    </row>
    <row r="331" spans="1:11" x14ac:dyDescent="0.2">
      <c r="A331" s="82" t="e">
        <f>#REF!</f>
        <v>#REF!</v>
      </c>
      <c r="B331" s="302">
        <f>IF('W1'!$C$5=0,"",IF(AND('Pilot Project Budget'!$S$4="Multi",'Pilot Project Budget'!$R$4="FY"),ROUND(((1+'Pilot Project Budget'!$M11)^'W1'!$B$20*'W1'!$C$9+(1+'Pilot Project Budget'!$M11)^('W1'!$B$20+1)*'W1'!$C$10)/('W1'!$C$5)*'Pilot Project Budget'!$E11,0),(IF(AND('Pilot Project Budget'!$S$4="Multi",'Pilot Project Budget'!$R$4="PY"),ROUND('Pilot Project Budget'!$E11/('W1'!$C$5)*'W1'!$C$5,0),(IF(AND('Pilot Project Budget'!$S$4&lt;&gt;"Multi",'Pilot Project Budget'!$R$4="FY"),ROUND(((1+'Pilot Project Budget'!$S$4)^'W1'!$B$20*'W1'!$C$9+(1+'Pilot Project Budget'!$S$4)^('W1'!$B$20+1)*'W1'!$C$10)/'W1'!$C$5*'Pilot Project Budget'!$E11,0),ROUND('Pilot Project Budget'!$E11/'W1'!$C$5*'W1'!$C$5,0)))))))</f>
        <v>0</v>
      </c>
      <c r="C331" s="300"/>
      <c r="D331" s="302">
        <f>IF('W1'!$D$5=0,"",IF($C$4=$D$4,(IF(AND('Pilot Project Budget'!$S$4="Multi",'Pilot Project Budget'!$R$4="FY"),ROUND(((1+'Pilot Project Budget'!$M11)^('W1'!$B$20)*'W1'!$D$9+(1+'Pilot Project Budget'!$M11)^('W1'!$B$20+1)*'W1'!$D$10)/'W1'!$D$5*'Pilot Project Budget'!$E11,0),(IF(AND('Pilot Project Budget'!$S$4="Multi",'Pilot Project Budget'!$R$4="PY"),ROUND('Pilot Project Budget'!$E11*(1+'Pilot Project Budget'!$M11)/'W1'!$D$5*'W1'!$D$5,0),(IF(AND('Pilot Project Budget'!$S$4&lt;&gt;"Multi",'Pilot Project Budget'!$R$4="FY"),ROUND(((1+'Pilot Project Budget'!$S$4)^('W1'!$B$20)*'W1'!$D$9+(1+'Pilot Project Budget'!$S$4)^('W1'!$B$20+1)*'W1'!$D$10)/'W1'!$D$5*'Pilot Project Budget'!$E11,0),ROUND('Pilot Project Budget'!$E11*(1+'Pilot Project Budget'!$S$4)/'W1'!$D$5*'W1'!$D$5,0))))))),(IF(AND('Pilot Project Budget'!$S$4="Multi",'Pilot Project Budget'!$R$4="FY"),ROUND(((1+'Pilot Project Budget'!$M11)^('W1'!$B$20+1)*'W1'!$D$9+(1+'Pilot Project Budget'!$M11)^('W1'!$B$20+2)*'W1'!$D$10)/'W1'!$D$5*'Pilot Project Budget'!$E11,0),(IF(AND('Pilot Project Budget'!$S$4="Multi",'Pilot Project Budget'!$R$4="PY"),ROUND('Pilot Project Budget'!$E11*(1+'Pilot Project Budget'!$M11)/'W1'!$D$5*'W1'!$D$5,0),(IF(AND('Pilot Project Budget'!$S$4&lt;&gt;"Multi",'Pilot Project Budget'!$R$4="FY"),ROUND(((1+'Pilot Project Budget'!$S$4)^('W1'!$B$20+1)*'W1'!$D$9+(1+'Pilot Project Budget'!$S$4)^('W1'!$B$20+2)*'W1'!$D$10)/'W1'!$D$5*'Pilot Project Budget'!$E11,0),ROUND('Pilot Project Budget'!$E11*(1+'Pilot Project Budget'!$S$4)/'W1'!$D$5*'W1'!$D$5,0)))))))))</f>
        <v>0</v>
      </c>
      <c r="E331" s="300"/>
      <c r="F331" s="302" t="str">
        <f>IF('W1'!$E$5=0,"",IF($C$4=$D$4,(IF(AND('Pilot Project Budget'!$S$4="Multi",'Pilot Project Budget'!$R$4="FY"),ROUND(((1+'Pilot Project Budget'!$M11)^('W1'!$B$20+1)*'W1'!$E$9+(1+'Pilot Project Budget'!$M11)^('W1'!$B$20+3)*'W1'!$E$10)/'W1'!$E$5*'Pilot Project Budget'!$E11,0),(IF(AND('Pilot Project Budget'!$S$4="Multi",'Pilot Project Budget'!$R$4="PY"),ROUND('Pilot Project Budget'!$E11*((1+'Pilot Project Budget'!$M11)^2)/'W1'!$E$5*'W1'!$E$5,0),(IF(AND('Pilot Project Budget'!$S$4&lt;&gt;"Multi",'Pilot Project Budget'!$R$4="FY"),ROUND(((1+'Pilot Project Budget'!$S$4)^('W1'!$B$20+1)*'W1'!$E$9+(1+'Pilot Project Budget'!$S$4)^('W1'!$B$20+2)*'W1'!$E$10)/'W1'!$E$5*'Pilot Project Budget'!$E11,0),ROUND('Pilot Project Budget'!$E11*((1+'Pilot Project Budget'!$S$4)^2)/'W1'!$E$5*'W1'!$E$5,0))))))),(IF(AND('Pilot Project Budget'!$S$4="Multi",'Pilot Project Budget'!$R$4="FY"),ROUND(((1+'Pilot Project Budget'!$M11)^('W1'!$B$20+2)*'W1'!$E$9+(1+'Pilot Project Budget'!$M11)^('W1'!$B$20+3)*'W1'!$E$10)/'W1'!$E$5*'Pilot Project Budget'!$E11,0),(IF(AND('Pilot Project Budget'!$S$4="Multi",'Pilot Project Budget'!$R$4="PY"),ROUND('Pilot Project Budget'!$E11*((1+'Pilot Project Budget'!$M11)^2)/'W1'!$E$5*'W1'!$E$5,0),(IF(AND('Pilot Project Budget'!$S$4&lt;&gt;"Multi",'Pilot Project Budget'!$R$4="FY"),ROUND(((1+'Pilot Project Budget'!$S$4)^('W1'!$B$20+2)*'W1'!$E$9+(1+'Pilot Project Budget'!$S$4)^('W1'!$B$20+3)*'W1'!$E$10)/'W1'!$E$5*'Pilot Project Budget'!$E11,0),ROUND('Pilot Project Budget'!$E11*((1+'Pilot Project Budget'!$S$4)^2)/'W1'!$E$5*'W1'!$E$5,0)))))))))</f>
        <v/>
      </c>
      <c r="G331" s="300"/>
      <c r="H331" s="302" t="str">
        <f>IF('W1'!$F$5=0,"",IF($C$4=$D$4,(IF(AND('Pilot Project Budget'!$S$4="Multi",'Pilot Project Budget'!$R$4="FY"),ROUND(((1+'Pilot Project Budget'!$M11)^('W1'!$B$20+2)*'W1'!$F$9+(1+'Pilot Project Budget'!$M11)^('W1'!$B$20+3)*'W1'!$F$10)/'W1'!$F$5*'Pilot Project Budget'!$E11,0),(IF(AND('Pilot Project Budget'!$S$4="Multi",'Pilot Project Budget'!$R$4="PY"),ROUND('Pilot Project Budget'!$E11*((1+'Pilot Project Budget'!$M11)^3)/'W1'!$F$5*'W1'!$F$5,0),(IF(AND('Pilot Project Budget'!$S$4&lt;&gt;"Multi",'Pilot Project Budget'!$R$4="FY"),ROUND(((1+'Pilot Project Budget'!$S$4)^('W1'!$B$20+2)*'W1'!$F$9+(1+'Pilot Project Budget'!$S$4)^('W1'!$B$20+3)*'W1'!$F$10)/'W1'!$F$5*'Pilot Project Budget'!$E11,0),ROUND('Pilot Project Budget'!$E11*((1+'Pilot Project Budget'!$S$4)^3)/'W1'!$F$5*'W1'!$F$5,0))))))),(IF(AND('Pilot Project Budget'!$S$4="Multi",'Pilot Project Budget'!$R$4="FY"),ROUND(((1+'Pilot Project Budget'!$M11)^('W1'!$B$20+3)*'W1'!$F$9+(1+'Pilot Project Budget'!$M11)^('W1'!$B$20+4)*'W1'!$F$10)/'W1'!$F$5*'Pilot Project Budget'!$E11,0),(IF(AND('Pilot Project Budget'!$S$4="Multi",'Pilot Project Budget'!$R$4="PY"),ROUND('Pilot Project Budget'!$E11*((1+'Pilot Project Budget'!$M11)^3)/'W1'!$F$5*'W1'!$F$5,0),(IF(AND('Pilot Project Budget'!$S$4&lt;&gt;"Multi",'Pilot Project Budget'!$R$4="FY"),ROUND(((1+'Pilot Project Budget'!$S$4)^('W1'!$B$20+3)*'W1'!$F$9+(1+'Pilot Project Budget'!$S$4)^('W1'!$B$20+4)*'W1'!$F$10)/'W1'!$F$5*'Pilot Project Budget'!$E11,0),ROUND('Pilot Project Budget'!$E11*((1+'Pilot Project Budget'!$S$4)^3)/'W1'!$F$5*'W1'!$F$5,0)))))))))</f>
        <v/>
      </c>
      <c r="I331" s="300"/>
      <c r="J331" s="302" t="str">
        <f>IF('W1'!$G$5=0,"",IF($C$4=$D$4,(IF(AND('Pilot Project Budget'!$S$4="Multi",'Pilot Project Budget'!$R$4="FY"),ROUND(((1+'Pilot Project Budget'!$M11)^('W1'!$B$20+3)*'W1'!$G$9+(1+'Pilot Project Budget'!$M11)^('W1'!$B$20+4)*'W1'!$G$10)/'W1'!$G$5*'Pilot Project Budget'!$E11,0),(IF(AND('Pilot Project Budget'!$S$4="Multi",'Pilot Project Budget'!$R$4="PY"),ROUND('Pilot Project Budget'!$E11*((1+'Pilot Project Budget'!$M11)^4)/'W1'!$G$5*'W1'!$G$5,0),(IF(AND('Pilot Project Budget'!$S$4&lt;&gt;"Multi",'Pilot Project Budget'!$R$4="FY"),ROUND(((1+'Pilot Project Budget'!$S$4)^('W1'!$B$20+3)*'W1'!$G$9+(1+'Pilot Project Budget'!$S$4)^('W1'!$B$20+4)*'W1'!$G$10)/'W1'!$G$5*'Pilot Project Budget'!$E11,0),ROUND('Pilot Project Budget'!$E11*((1+'Pilot Project Budget'!$S$4)^4)/'W1'!$G$5*'W1'!$G$5,0))))))),(IF(AND('Pilot Project Budget'!$S$4="Multi",'Pilot Project Budget'!$R$4="FY"),ROUND(((1+'Pilot Project Budget'!$M11)^('W1'!$B$20+4)*'W1'!$G$9+(1+'Pilot Project Budget'!$M11)^('W1'!$B$20+5)*'W1'!$G$10)/'W1'!$G$5*'Pilot Project Budget'!$E11,0),(IF(AND('Pilot Project Budget'!$S$4="Multi",'Pilot Project Budget'!$R$4="PY"),ROUND('Pilot Project Budget'!$E11*((1+'Pilot Project Budget'!$M11)^4)/'W1'!$G$5*'W1'!$G$5,0),(IF(AND('Pilot Project Budget'!$S$4&lt;&gt;"Multi",'Pilot Project Budget'!$R$4="FY"),ROUND(((1+'Pilot Project Budget'!$S$4)^('W1'!$B$20+4)*'W1'!$G$9+(1+'Pilot Project Budget'!$S$4)^('W1'!$B$20+5)*'W1'!$G$10)/'W1'!$G$5*'Pilot Project Budget'!$E11,0),ROUND('Pilot Project Budget'!$E11*((1+'Pilot Project Budget'!$S$4)^4)/'W1'!$G$5*'W1'!$G$5,0)))))))))</f>
        <v/>
      </c>
      <c r="K331" s="300"/>
    </row>
    <row r="332" spans="1:11" x14ac:dyDescent="0.2">
      <c r="A332" s="82" t="e">
        <f>#REF!</f>
        <v>#REF!</v>
      </c>
      <c r="B332" s="302">
        <f>IF('W1'!$C$5=0,"",IF(AND('Pilot Project Budget'!$S$4="Multi",'Pilot Project Budget'!$R$4="FY"),ROUND(((1+'Pilot Project Budget'!$M12)^'W1'!$B$20*'W1'!$C$9+(1+'Pilot Project Budget'!$M12)^('W1'!$B$20+1)*'W1'!$C$10)/('W1'!$C$5)*'Pilot Project Budget'!$E12,0),(IF(AND('Pilot Project Budget'!$S$4="Multi",'Pilot Project Budget'!$R$4="PY"),ROUND('Pilot Project Budget'!$E12/('W1'!$C$5)*'W1'!$C$5,0),(IF(AND('Pilot Project Budget'!$S$4&lt;&gt;"Multi",'Pilot Project Budget'!$R$4="FY"),ROUND(((1+'Pilot Project Budget'!$S$4)^'W1'!$B$20*'W1'!$C$9+(1+'Pilot Project Budget'!$S$4)^('W1'!$B$20+1)*'W1'!$C$10)/'W1'!$C$5*'Pilot Project Budget'!$E12,0),ROUND('Pilot Project Budget'!$E12/'W1'!$C$5*'W1'!$C$5,0)))))))</f>
        <v>0</v>
      </c>
      <c r="C332" s="300"/>
      <c r="D332" s="302">
        <f>IF('W1'!$D$5=0,"",IF($C$4=$D$4,(IF(AND('Pilot Project Budget'!$S$4="Multi",'Pilot Project Budget'!$R$4="FY"),ROUND(((1+'Pilot Project Budget'!$M12)^('W1'!$B$20)*'W1'!$D$9+(1+'Pilot Project Budget'!$M12)^('W1'!$B$20+1)*'W1'!$D$10)/'W1'!$D$5*'Pilot Project Budget'!$E12,0),(IF(AND('Pilot Project Budget'!$S$4="Multi",'Pilot Project Budget'!$R$4="PY"),ROUND('Pilot Project Budget'!$E12*(1+'Pilot Project Budget'!$M12)/'W1'!$D$5*'W1'!$D$5,0),(IF(AND('Pilot Project Budget'!$S$4&lt;&gt;"Multi",'Pilot Project Budget'!$R$4="FY"),ROUND(((1+'Pilot Project Budget'!$S$4)^('W1'!$B$20)*'W1'!$D$9+(1+'Pilot Project Budget'!$S$4)^('W1'!$B$20+1)*'W1'!$D$10)/'W1'!$D$5*'Pilot Project Budget'!$E12,0),ROUND('Pilot Project Budget'!$E12*(1+'Pilot Project Budget'!$S$4)/'W1'!$D$5*'W1'!$D$5,0))))))),(IF(AND('Pilot Project Budget'!$S$4="Multi",'Pilot Project Budget'!$R$4="FY"),ROUND(((1+'Pilot Project Budget'!$M12)^('W1'!$B$20+1)*'W1'!$D$9+(1+'Pilot Project Budget'!$M12)^('W1'!$B$20+2)*'W1'!$D$10)/'W1'!$D$5*'Pilot Project Budget'!$E12,0),(IF(AND('Pilot Project Budget'!$S$4="Multi",'Pilot Project Budget'!$R$4="PY"),ROUND('Pilot Project Budget'!$E12*(1+'Pilot Project Budget'!$M12)/'W1'!$D$5*'W1'!$D$5,0),(IF(AND('Pilot Project Budget'!$S$4&lt;&gt;"Multi",'Pilot Project Budget'!$R$4="FY"),ROUND(((1+'Pilot Project Budget'!$S$4)^('W1'!$B$20+1)*'W1'!$D$9+(1+'Pilot Project Budget'!$S$4)^('W1'!$B$20+2)*'W1'!$D$10)/'W1'!$D$5*'Pilot Project Budget'!$E12,0),ROUND('Pilot Project Budget'!$E12*(1+'Pilot Project Budget'!$S$4)/'W1'!$D$5*'W1'!$D$5,0)))))))))</f>
        <v>0</v>
      </c>
      <c r="E332" s="300"/>
      <c r="F332" s="302" t="str">
        <f>IF('W1'!$E$5=0,"",IF($C$4=$D$4,(IF(AND('Pilot Project Budget'!$S$4="Multi",'Pilot Project Budget'!$R$4="FY"),ROUND(((1+'Pilot Project Budget'!$M12)^('W1'!$B$20+1)*'W1'!$E$9+(1+'Pilot Project Budget'!$M12)^('W1'!$B$20+3)*'W1'!$E$10)/'W1'!$E$5*'Pilot Project Budget'!$E12,0),(IF(AND('Pilot Project Budget'!$S$4="Multi",'Pilot Project Budget'!$R$4="PY"),ROUND('Pilot Project Budget'!$E12*((1+'Pilot Project Budget'!$M12)^2)/'W1'!$E$5*'W1'!$E$5,0),(IF(AND('Pilot Project Budget'!$S$4&lt;&gt;"Multi",'Pilot Project Budget'!$R$4="FY"),ROUND(((1+'Pilot Project Budget'!$S$4)^('W1'!$B$20+1)*'W1'!$E$9+(1+'Pilot Project Budget'!$S$4)^('W1'!$B$20+2)*'W1'!$E$10)/'W1'!$E$5*'Pilot Project Budget'!$E12,0),ROUND('Pilot Project Budget'!$E12*((1+'Pilot Project Budget'!$S$4)^2)/'W1'!$E$5*'W1'!$E$5,0))))))),(IF(AND('Pilot Project Budget'!$S$4="Multi",'Pilot Project Budget'!$R$4="FY"),ROUND(((1+'Pilot Project Budget'!$M12)^('W1'!$B$20+2)*'W1'!$E$9+(1+'Pilot Project Budget'!$M12)^('W1'!$B$20+3)*'W1'!$E$10)/'W1'!$E$5*'Pilot Project Budget'!$E12,0),(IF(AND('Pilot Project Budget'!$S$4="Multi",'Pilot Project Budget'!$R$4="PY"),ROUND('Pilot Project Budget'!$E12*((1+'Pilot Project Budget'!$M12)^2)/'W1'!$E$5*'W1'!$E$5,0),(IF(AND('Pilot Project Budget'!$S$4&lt;&gt;"Multi",'Pilot Project Budget'!$R$4="FY"),ROUND(((1+'Pilot Project Budget'!$S$4)^('W1'!$B$20+2)*'W1'!$E$9+(1+'Pilot Project Budget'!$S$4)^('W1'!$B$20+3)*'W1'!$E$10)/'W1'!$E$5*'Pilot Project Budget'!$E12,0),ROUND('Pilot Project Budget'!$E12*((1+'Pilot Project Budget'!$S$4)^2)/'W1'!$E$5*'W1'!$E$5,0)))))))))</f>
        <v/>
      </c>
      <c r="G332" s="300"/>
      <c r="H332" s="302" t="str">
        <f>IF('W1'!$F$5=0,"",IF($C$4=$D$4,(IF(AND('Pilot Project Budget'!$S$4="Multi",'Pilot Project Budget'!$R$4="FY"),ROUND(((1+'Pilot Project Budget'!$M12)^('W1'!$B$20+2)*'W1'!$F$9+(1+'Pilot Project Budget'!$M12)^('W1'!$B$20+3)*'W1'!$F$10)/'W1'!$F$5*'Pilot Project Budget'!$E12,0),(IF(AND('Pilot Project Budget'!$S$4="Multi",'Pilot Project Budget'!$R$4="PY"),ROUND('Pilot Project Budget'!$E12*((1+'Pilot Project Budget'!$M12)^3)/'W1'!$F$5*'W1'!$F$5,0),(IF(AND('Pilot Project Budget'!$S$4&lt;&gt;"Multi",'Pilot Project Budget'!$R$4="FY"),ROUND(((1+'Pilot Project Budget'!$S$4)^('W1'!$B$20+2)*'W1'!$F$9+(1+'Pilot Project Budget'!$S$4)^('W1'!$B$20+3)*'W1'!$F$10)/'W1'!$F$5*'Pilot Project Budget'!$E12,0),ROUND('Pilot Project Budget'!$E12*((1+'Pilot Project Budget'!$S$4)^3)/'W1'!$F$5*'W1'!$F$5,0))))))),(IF(AND('Pilot Project Budget'!$S$4="Multi",'Pilot Project Budget'!$R$4="FY"),ROUND(((1+'Pilot Project Budget'!$M12)^('W1'!$B$20+3)*'W1'!$F$9+(1+'Pilot Project Budget'!$M12)^('W1'!$B$20+4)*'W1'!$F$10)/'W1'!$F$5*'Pilot Project Budget'!$E12,0),(IF(AND('Pilot Project Budget'!$S$4="Multi",'Pilot Project Budget'!$R$4="PY"),ROUND('Pilot Project Budget'!$E12*((1+'Pilot Project Budget'!$M12)^3)/'W1'!$F$5*'W1'!$F$5,0),(IF(AND('Pilot Project Budget'!$S$4&lt;&gt;"Multi",'Pilot Project Budget'!$R$4="FY"),ROUND(((1+'Pilot Project Budget'!$S$4)^('W1'!$B$20+3)*'W1'!$F$9+(1+'Pilot Project Budget'!$S$4)^('W1'!$B$20+4)*'W1'!$F$10)/'W1'!$F$5*'Pilot Project Budget'!$E12,0),ROUND('Pilot Project Budget'!$E12*((1+'Pilot Project Budget'!$S$4)^3)/'W1'!$F$5*'W1'!$F$5,0)))))))))</f>
        <v/>
      </c>
      <c r="I332" s="300"/>
      <c r="J332" s="302" t="str">
        <f>IF('W1'!$G$5=0,"",IF($C$4=$D$4,(IF(AND('Pilot Project Budget'!$S$4="Multi",'Pilot Project Budget'!$R$4="FY"),ROUND(((1+'Pilot Project Budget'!$M12)^('W1'!$B$20+3)*'W1'!$G$9+(1+'Pilot Project Budget'!$M12)^('W1'!$B$20+4)*'W1'!$G$10)/'W1'!$G$5*'Pilot Project Budget'!$E12,0),(IF(AND('Pilot Project Budget'!$S$4="Multi",'Pilot Project Budget'!$R$4="PY"),ROUND('Pilot Project Budget'!$E12*((1+'Pilot Project Budget'!$M12)^4)/'W1'!$G$5*'W1'!$G$5,0),(IF(AND('Pilot Project Budget'!$S$4&lt;&gt;"Multi",'Pilot Project Budget'!$R$4="FY"),ROUND(((1+'Pilot Project Budget'!$S$4)^('W1'!$B$20+3)*'W1'!$G$9+(1+'Pilot Project Budget'!$S$4)^('W1'!$B$20+4)*'W1'!$G$10)/'W1'!$G$5*'Pilot Project Budget'!$E12,0),ROUND('Pilot Project Budget'!$E12*((1+'Pilot Project Budget'!$S$4)^4)/'W1'!$G$5*'W1'!$G$5,0))))))),(IF(AND('Pilot Project Budget'!$S$4="Multi",'Pilot Project Budget'!$R$4="FY"),ROUND(((1+'Pilot Project Budget'!$M12)^('W1'!$B$20+4)*'W1'!$G$9+(1+'Pilot Project Budget'!$M12)^('W1'!$B$20+5)*'W1'!$G$10)/'W1'!$G$5*'Pilot Project Budget'!$E12,0),(IF(AND('Pilot Project Budget'!$S$4="Multi",'Pilot Project Budget'!$R$4="PY"),ROUND('Pilot Project Budget'!$E12*((1+'Pilot Project Budget'!$M12)^4)/'W1'!$G$5*'W1'!$G$5,0),(IF(AND('Pilot Project Budget'!$S$4&lt;&gt;"Multi",'Pilot Project Budget'!$R$4="FY"),ROUND(((1+'Pilot Project Budget'!$S$4)^('W1'!$B$20+4)*'W1'!$G$9+(1+'Pilot Project Budget'!$S$4)^('W1'!$B$20+5)*'W1'!$G$10)/'W1'!$G$5*'Pilot Project Budget'!$E12,0),ROUND('Pilot Project Budget'!$E12*((1+'Pilot Project Budget'!$S$4)^4)/'W1'!$G$5*'W1'!$G$5,0)))))))))</f>
        <v/>
      </c>
      <c r="K332" s="300"/>
    </row>
    <row r="333" spans="1:11" x14ac:dyDescent="0.2">
      <c r="A333" s="82" t="e">
        <f>#REF!</f>
        <v>#REF!</v>
      </c>
      <c r="B333" s="302">
        <f>IF('W1'!$C$5=0,"",IF(AND('Pilot Project Budget'!$S$4="Multi",'Pilot Project Budget'!$R$4="FY"),ROUND(((1+'Pilot Project Budget'!$M13)^'W1'!$B$20*'W1'!$C$9+(1+'Pilot Project Budget'!$M13)^('W1'!$B$20+1)*'W1'!$C$10)/('W1'!$C$5)*'Pilot Project Budget'!$E13,0),(IF(AND('Pilot Project Budget'!$S$4="Multi",'Pilot Project Budget'!$R$4="PY"),ROUND('Pilot Project Budget'!$E13/('W1'!$C$5)*'W1'!$C$5,0),(IF(AND('Pilot Project Budget'!$S$4&lt;&gt;"Multi",'Pilot Project Budget'!$R$4="FY"),ROUND(((1+'Pilot Project Budget'!$S$4)^'W1'!$B$20*'W1'!$C$9+(1+'Pilot Project Budget'!$S$4)^('W1'!$B$20+1)*'W1'!$C$10)/'W1'!$C$5*'Pilot Project Budget'!$E13,0),ROUND('Pilot Project Budget'!$E13/'W1'!$C$5*'W1'!$C$5,0)))))))</f>
        <v>0</v>
      </c>
      <c r="C333" s="300"/>
      <c r="D333" s="302">
        <f>IF('W1'!$D$5=0,"",IF($C$4=$D$4,(IF(AND('Pilot Project Budget'!$S$4="Multi",'Pilot Project Budget'!$R$4="FY"),ROUND(((1+'Pilot Project Budget'!$M13)^('W1'!$B$20)*'W1'!$D$9+(1+'Pilot Project Budget'!$M13)^('W1'!$B$20+1)*'W1'!$D$10)/'W1'!$D$5*'Pilot Project Budget'!$E13,0),(IF(AND('Pilot Project Budget'!$S$4="Multi",'Pilot Project Budget'!$R$4="PY"),ROUND('Pilot Project Budget'!$E13*(1+'Pilot Project Budget'!$M13)/'W1'!$D$5*'W1'!$D$5,0),(IF(AND('Pilot Project Budget'!$S$4&lt;&gt;"Multi",'Pilot Project Budget'!$R$4="FY"),ROUND(((1+'Pilot Project Budget'!$S$4)^('W1'!$B$20)*'W1'!$D$9+(1+'Pilot Project Budget'!$S$4)^('W1'!$B$20+1)*'W1'!$D$10)/'W1'!$D$5*'Pilot Project Budget'!$E13,0),ROUND('Pilot Project Budget'!$E13*(1+'Pilot Project Budget'!$S$4)/'W1'!$D$5*'W1'!$D$5,0))))))),(IF(AND('Pilot Project Budget'!$S$4="Multi",'Pilot Project Budget'!$R$4="FY"),ROUND(((1+'Pilot Project Budget'!$M13)^('W1'!$B$20+1)*'W1'!$D$9+(1+'Pilot Project Budget'!$M13)^('W1'!$B$20+2)*'W1'!$D$10)/'W1'!$D$5*'Pilot Project Budget'!$E13,0),(IF(AND('Pilot Project Budget'!$S$4="Multi",'Pilot Project Budget'!$R$4="PY"),ROUND('Pilot Project Budget'!$E13*(1+'Pilot Project Budget'!$M13)/'W1'!$D$5*'W1'!$D$5,0),(IF(AND('Pilot Project Budget'!$S$4&lt;&gt;"Multi",'Pilot Project Budget'!$R$4="FY"),ROUND(((1+'Pilot Project Budget'!$S$4)^('W1'!$B$20+1)*'W1'!$D$9+(1+'Pilot Project Budget'!$S$4)^('W1'!$B$20+2)*'W1'!$D$10)/'W1'!$D$5*'Pilot Project Budget'!$E13,0),ROUND('Pilot Project Budget'!$E13*(1+'Pilot Project Budget'!$S$4)/'W1'!$D$5*'W1'!$D$5,0)))))))))</f>
        <v>0</v>
      </c>
      <c r="E333" s="300"/>
      <c r="F333" s="302" t="str">
        <f>IF('W1'!$E$5=0,"",IF($C$4=$D$4,(IF(AND('Pilot Project Budget'!$S$4="Multi",'Pilot Project Budget'!$R$4="FY"),ROUND(((1+'Pilot Project Budget'!$M13)^('W1'!$B$20+1)*'W1'!$E$9+(1+'Pilot Project Budget'!$M13)^('W1'!$B$20+3)*'W1'!$E$10)/'W1'!$E$5*'Pilot Project Budget'!$E13,0),(IF(AND('Pilot Project Budget'!$S$4="Multi",'Pilot Project Budget'!$R$4="PY"),ROUND('Pilot Project Budget'!$E13*((1+'Pilot Project Budget'!$M13)^2)/'W1'!$E$5*'W1'!$E$5,0),(IF(AND('Pilot Project Budget'!$S$4&lt;&gt;"Multi",'Pilot Project Budget'!$R$4="FY"),ROUND(((1+'Pilot Project Budget'!$S$4)^('W1'!$B$20+1)*'W1'!$E$9+(1+'Pilot Project Budget'!$S$4)^('W1'!$B$20+2)*'W1'!$E$10)/'W1'!$E$5*'Pilot Project Budget'!$E13,0),ROUND('Pilot Project Budget'!$E13*((1+'Pilot Project Budget'!$S$4)^2)/'W1'!$E$5*'W1'!$E$5,0))))))),(IF(AND('Pilot Project Budget'!$S$4="Multi",'Pilot Project Budget'!$R$4="FY"),ROUND(((1+'Pilot Project Budget'!$M13)^('W1'!$B$20+2)*'W1'!$E$9+(1+'Pilot Project Budget'!$M13)^('W1'!$B$20+3)*'W1'!$E$10)/'W1'!$E$5*'Pilot Project Budget'!$E13,0),(IF(AND('Pilot Project Budget'!$S$4="Multi",'Pilot Project Budget'!$R$4="PY"),ROUND('Pilot Project Budget'!$E13*((1+'Pilot Project Budget'!$M13)^2)/'W1'!$E$5*'W1'!$E$5,0),(IF(AND('Pilot Project Budget'!$S$4&lt;&gt;"Multi",'Pilot Project Budget'!$R$4="FY"),ROUND(((1+'Pilot Project Budget'!$S$4)^('W1'!$B$20+2)*'W1'!$E$9+(1+'Pilot Project Budget'!$S$4)^('W1'!$B$20+3)*'W1'!$E$10)/'W1'!$E$5*'Pilot Project Budget'!$E13,0),ROUND('Pilot Project Budget'!$E13*((1+'Pilot Project Budget'!$S$4)^2)/'W1'!$E$5*'W1'!$E$5,0)))))))))</f>
        <v/>
      </c>
      <c r="G333" s="300"/>
      <c r="H333" s="302" t="str">
        <f>IF('W1'!$F$5=0,"",IF($C$4=$D$4,(IF(AND('Pilot Project Budget'!$S$4="Multi",'Pilot Project Budget'!$R$4="FY"),ROUND(((1+'Pilot Project Budget'!$M13)^('W1'!$B$20+2)*'W1'!$F$9+(1+'Pilot Project Budget'!$M13)^('W1'!$B$20+3)*'W1'!$F$10)/'W1'!$F$5*'Pilot Project Budget'!$E13,0),(IF(AND('Pilot Project Budget'!$S$4="Multi",'Pilot Project Budget'!$R$4="PY"),ROUND('Pilot Project Budget'!$E13*((1+'Pilot Project Budget'!$M13)^3)/'W1'!$F$5*'W1'!$F$5,0),(IF(AND('Pilot Project Budget'!$S$4&lt;&gt;"Multi",'Pilot Project Budget'!$R$4="FY"),ROUND(((1+'Pilot Project Budget'!$S$4)^('W1'!$B$20+2)*'W1'!$F$9+(1+'Pilot Project Budget'!$S$4)^('W1'!$B$20+3)*'W1'!$F$10)/'W1'!$F$5*'Pilot Project Budget'!$E13,0),ROUND('Pilot Project Budget'!$E13*((1+'Pilot Project Budget'!$S$4)^3)/'W1'!$F$5*'W1'!$F$5,0))))))),(IF(AND('Pilot Project Budget'!$S$4="Multi",'Pilot Project Budget'!$R$4="FY"),ROUND(((1+'Pilot Project Budget'!$M13)^('W1'!$B$20+3)*'W1'!$F$9+(1+'Pilot Project Budget'!$M13)^('W1'!$B$20+4)*'W1'!$F$10)/'W1'!$F$5*'Pilot Project Budget'!$E13,0),(IF(AND('Pilot Project Budget'!$S$4="Multi",'Pilot Project Budget'!$R$4="PY"),ROUND('Pilot Project Budget'!$E13*((1+'Pilot Project Budget'!$M13)^3)/'W1'!$F$5*'W1'!$F$5,0),(IF(AND('Pilot Project Budget'!$S$4&lt;&gt;"Multi",'Pilot Project Budget'!$R$4="FY"),ROUND(((1+'Pilot Project Budget'!$S$4)^('W1'!$B$20+3)*'W1'!$F$9+(1+'Pilot Project Budget'!$S$4)^('W1'!$B$20+4)*'W1'!$F$10)/'W1'!$F$5*'Pilot Project Budget'!$E13,0),ROUND('Pilot Project Budget'!$E13*((1+'Pilot Project Budget'!$S$4)^3)/'W1'!$F$5*'W1'!$F$5,0)))))))))</f>
        <v/>
      </c>
      <c r="I333" s="300"/>
      <c r="J333" s="302" t="str">
        <f>IF('W1'!$G$5=0,"",IF($C$4=$D$4,(IF(AND('Pilot Project Budget'!$S$4="Multi",'Pilot Project Budget'!$R$4="FY"),ROUND(((1+'Pilot Project Budget'!$M13)^('W1'!$B$20+3)*'W1'!$G$9+(1+'Pilot Project Budget'!$M13)^('W1'!$B$20+4)*'W1'!$G$10)/'W1'!$G$5*'Pilot Project Budget'!$E13,0),(IF(AND('Pilot Project Budget'!$S$4="Multi",'Pilot Project Budget'!$R$4="PY"),ROUND('Pilot Project Budget'!$E13*((1+'Pilot Project Budget'!$M13)^4)/'W1'!$G$5*'W1'!$G$5,0),(IF(AND('Pilot Project Budget'!$S$4&lt;&gt;"Multi",'Pilot Project Budget'!$R$4="FY"),ROUND(((1+'Pilot Project Budget'!$S$4)^('W1'!$B$20+3)*'W1'!$G$9+(1+'Pilot Project Budget'!$S$4)^('W1'!$B$20+4)*'W1'!$G$10)/'W1'!$G$5*'Pilot Project Budget'!$E13,0),ROUND('Pilot Project Budget'!$E13*((1+'Pilot Project Budget'!$S$4)^4)/'W1'!$G$5*'W1'!$G$5,0))))))),(IF(AND('Pilot Project Budget'!$S$4="Multi",'Pilot Project Budget'!$R$4="FY"),ROUND(((1+'Pilot Project Budget'!$M13)^('W1'!$B$20+4)*'W1'!$G$9+(1+'Pilot Project Budget'!$M13)^('W1'!$B$20+5)*'W1'!$G$10)/'W1'!$G$5*'Pilot Project Budget'!$E13,0),(IF(AND('Pilot Project Budget'!$S$4="Multi",'Pilot Project Budget'!$R$4="PY"),ROUND('Pilot Project Budget'!$E13*((1+'Pilot Project Budget'!$M13)^4)/'W1'!$G$5*'W1'!$G$5,0),(IF(AND('Pilot Project Budget'!$S$4&lt;&gt;"Multi",'Pilot Project Budget'!$R$4="FY"),ROUND(((1+'Pilot Project Budget'!$S$4)^('W1'!$B$20+4)*'W1'!$G$9+(1+'Pilot Project Budget'!$S$4)^('W1'!$B$20+5)*'W1'!$G$10)/'W1'!$G$5*'Pilot Project Budget'!$E13,0),ROUND('Pilot Project Budget'!$E13*((1+'Pilot Project Budget'!$S$4)^4)/'W1'!$G$5*'W1'!$G$5,0)))))))))</f>
        <v/>
      </c>
      <c r="K333" s="300"/>
    </row>
    <row r="334" spans="1:11" x14ac:dyDescent="0.2">
      <c r="A334" s="82" t="e">
        <f>#REF!</f>
        <v>#REF!</v>
      </c>
      <c r="B334" s="302">
        <f>IF('W1'!$C$5=0,"",IF(AND('Pilot Project Budget'!$S$4="Multi",'Pilot Project Budget'!$R$4="FY"),ROUND(((1+'Pilot Project Budget'!$M14)^'W1'!$B$20*'W1'!$C$9+(1+'Pilot Project Budget'!$M14)^('W1'!$B$20+1)*'W1'!$C$10)/('W1'!$C$5)*'Pilot Project Budget'!$E14,0),(IF(AND('Pilot Project Budget'!$S$4="Multi",'Pilot Project Budget'!$R$4="PY"),ROUND('Pilot Project Budget'!$E14/('W1'!$C$5)*'W1'!$C$5,0),(IF(AND('Pilot Project Budget'!$S$4&lt;&gt;"Multi",'Pilot Project Budget'!$R$4="FY"),ROUND(((1+'Pilot Project Budget'!$S$4)^'W1'!$B$20*'W1'!$C$9+(1+'Pilot Project Budget'!$S$4)^('W1'!$B$20+1)*'W1'!$C$10)/'W1'!$C$5*'Pilot Project Budget'!$E14,0),ROUND('Pilot Project Budget'!$E14/'W1'!$C$5*'W1'!$C$5,0)))))))</f>
        <v>0</v>
      </c>
      <c r="C334" s="300"/>
      <c r="D334" s="302">
        <f>IF('W1'!$D$5=0,"",IF($C$4=$D$4,(IF(AND('Pilot Project Budget'!$S$4="Multi",'Pilot Project Budget'!$R$4="FY"),ROUND(((1+'Pilot Project Budget'!$M14)^('W1'!$B$20)*'W1'!$D$9+(1+'Pilot Project Budget'!$M14)^('W1'!$B$20+1)*'W1'!$D$10)/'W1'!$D$5*'Pilot Project Budget'!$E14,0),(IF(AND('Pilot Project Budget'!$S$4="Multi",'Pilot Project Budget'!$R$4="PY"),ROUND('Pilot Project Budget'!$E14*(1+'Pilot Project Budget'!$M14)/'W1'!$D$5*'W1'!$D$5,0),(IF(AND('Pilot Project Budget'!$S$4&lt;&gt;"Multi",'Pilot Project Budget'!$R$4="FY"),ROUND(((1+'Pilot Project Budget'!$S$4)^('W1'!$B$20)*'W1'!$D$9+(1+'Pilot Project Budget'!$S$4)^('W1'!$B$20+1)*'W1'!$D$10)/'W1'!$D$5*'Pilot Project Budget'!$E14,0),ROUND('Pilot Project Budget'!$E14*(1+'Pilot Project Budget'!$S$4)/'W1'!$D$5*'W1'!$D$5,0))))))),(IF(AND('Pilot Project Budget'!$S$4="Multi",'Pilot Project Budget'!$R$4="FY"),ROUND(((1+'Pilot Project Budget'!$M14)^('W1'!$B$20+1)*'W1'!$D$9+(1+'Pilot Project Budget'!$M14)^('W1'!$B$20+2)*'W1'!$D$10)/'W1'!$D$5*'Pilot Project Budget'!$E14,0),(IF(AND('Pilot Project Budget'!$S$4="Multi",'Pilot Project Budget'!$R$4="PY"),ROUND('Pilot Project Budget'!$E14*(1+'Pilot Project Budget'!$M14)/'W1'!$D$5*'W1'!$D$5,0),(IF(AND('Pilot Project Budget'!$S$4&lt;&gt;"Multi",'Pilot Project Budget'!$R$4="FY"),ROUND(((1+'Pilot Project Budget'!$S$4)^('W1'!$B$20+1)*'W1'!$D$9+(1+'Pilot Project Budget'!$S$4)^('W1'!$B$20+2)*'W1'!$D$10)/'W1'!$D$5*'Pilot Project Budget'!$E14,0),ROUND('Pilot Project Budget'!$E14*(1+'Pilot Project Budget'!$S$4)/'W1'!$D$5*'W1'!$D$5,0)))))))))</f>
        <v>0</v>
      </c>
      <c r="E334" s="300"/>
      <c r="F334" s="302" t="str">
        <f>IF('W1'!$E$5=0,"",IF($C$4=$D$4,(IF(AND('Pilot Project Budget'!$S$4="Multi",'Pilot Project Budget'!$R$4="FY"),ROUND(((1+'Pilot Project Budget'!$M14)^('W1'!$B$20+1)*'W1'!$E$9+(1+'Pilot Project Budget'!$M14)^('W1'!$B$20+3)*'W1'!$E$10)/'W1'!$E$5*'Pilot Project Budget'!$E14,0),(IF(AND('Pilot Project Budget'!$S$4="Multi",'Pilot Project Budget'!$R$4="PY"),ROUND('Pilot Project Budget'!$E14*((1+'Pilot Project Budget'!$M14)^2)/'W1'!$E$5*'W1'!$E$5,0),(IF(AND('Pilot Project Budget'!$S$4&lt;&gt;"Multi",'Pilot Project Budget'!$R$4="FY"),ROUND(((1+'Pilot Project Budget'!$S$4)^('W1'!$B$20+1)*'W1'!$E$9+(1+'Pilot Project Budget'!$S$4)^('W1'!$B$20+2)*'W1'!$E$10)/'W1'!$E$5*'Pilot Project Budget'!$E14,0),ROUND('Pilot Project Budget'!$E14*((1+'Pilot Project Budget'!$S$4)^2)/'W1'!$E$5*'W1'!$E$5,0))))))),(IF(AND('Pilot Project Budget'!$S$4="Multi",'Pilot Project Budget'!$R$4="FY"),ROUND(((1+'Pilot Project Budget'!$M14)^('W1'!$B$20+2)*'W1'!$E$9+(1+'Pilot Project Budget'!$M14)^('W1'!$B$20+3)*'W1'!$E$10)/'W1'!$E$5*'Pilot Project Budget'!$E14,0),(IF(AND('Pilot Project Budget'!$S$4="Multi",'Pilot Project Budget'!$R$4="PY"),ROUND('Pilot Project Budget'!$E14*((1+'Pilot Project Budget'!$M14)^2)/'W1'!$E$5*'W1'!$E$5,0),(IF(AND('Pilot Project Budget'!$S$4&lt;&gt;"Multi",'Pilot Project Budget'!$R$4="FY"),ROUND(((1+'Pilot Project Budget'!$S$4)^('W1'!$B$20+2)*'W1'!$E$9+(1+'Pilot Project Budget'!$S$4)^('W1'!$B$20+3)*'W1'!$E$10)/'W1'!$E$5*'Pilot Project Budget'!$E14,0),ROUND('Pilot Project Budget'!$E14*((1+'Pilot Project Budget'!$S$4)^2)/'W1'!$E$5*'W1'!$E$5,0)))))))))</f>
        <v/>
      </c>
      <c r="G334" s="300"/>
      <c r="H334" s="302" t="str">
        <f>IF('W1'!$F$5=0,"",IF($C$4=$D$4,(IF(AND('Pilot Project Budget'!$S$4="Multi",'Pilot Project Budget'!$R$4="FY"),ROUND(((1+'Pilot Project Budget'!$M14)^('W1'!$B$20+2)*'W1'!$F$9+(1+'Pilot Project Budget'!$M14)^('W1'!$B$20+3)*'W1'!$F$10)/'W1'!$F$5*'Pilot Project Budget'!$E14,0),(IF(AND('Pilot Project Budget'!$S$4="Multi",'Pilot Project Budget'!$R$4="PY"),ROUND('Pilot Project Budget'!$E14*((1+'Pilot Project Budget'!$M14)^3)/'W1'!$F$5*'W1'!$F$5,0),(IF(AND('Pilot Project Budget'!$S$4&lt;&gt;"Multi",'Pilot Project Budget'!$R$4="FY"),ROUND(((1+'Pilot Project Budget'!$S$4)^('W1'!$B$20+2)*'W1'!$F$9+(1+'Pilot Project Budget'!$S$4)^('W1'!$B$20+3)*'W1'!$F$10)/'W1'!$F$5*'Pilot Project Budget'!$E14,0),ROUND('Pilot Project Budget'!$E14*((1+'Pilot Project Budget'!$S$4)^3)/'W1'!$F$5*'W1'!$F$5,0))))))),(IF(AND('Pilot Project Budget'!$S$4="Multi",'Pilot Project Budget'!$R$4="FY"),ROUND(((1+'Pilot Project Budget'!$M14)^('W1'!$B$20+3)*'W1'!$F$9+(1+'Pilot Project Budget'!$M14)^('W1'!$B$20+4)*'W1'!$F$10)/'W1'!$F$5*'Pilot Project Budget'!$E14,0),(IF(AND('Pilot Project Budget'!$S$4="Multi",'Pilot Project Budget'!$R$4="PY"),ROUND('Pilot Project Budget'!$E14*((1+'Pilot Project Budget'!$M14)^3)/'W1'!$F$5*'W1'!$F$5,0),(IF(AND('Pilot Project Budget'!$S$4&lt;&gt;"Multi",'Pilot Project Budget'!$R$4="FY"),ROUND(((1+'Pilot Project Budget'!$S$4)^('W1'!$B$20+3)*'W1'!$F$9+(1+'Pilot Project Budget'!$S$4)^('W1'!$B$20+4)*'W1'!$F$10)/'W1'!$F$5*'Pilot Project Budget'!$E14,0),ROUND('Pilot Project Budget'!$E14*((1+'Pilot Project Budget'!$S$4)^3)/'W1'!$F$5*'W1'!$F$5,0)))))))))</f>
        <v/>
      </c>
      <c r="I334" s="300"/>
      <c r="J334" s="302" t="str">
        <f>IF('W1'!$G$5=0,"",IF($C$4=$D$4,(IF(AND('Pilot Project Budget'!$S$4="Multi",'Pilot Project Budget'!$R$4="FY"),ROUND(((1+'Pilot Project Budget'!$M14)^('W1'!$B$20+3)*'W1'!$G$9+(1+'Pilot Project Budget'!$M14)^('W1'!$B$20+4)*'W1'!$G$10)/'W1'!$G$5*'Pilot Project Budget'!$E14,0),(IF(AND('Pilot Project Budget'!$S$4="Multi",'Pilot Project Budget'!$R$4="PY"),ROUND('Pilot Project Budget'!$E14*((1+'Pilot Project Budget'!$M14)^4)/'W1'!$G$5*'W1'!$G$5,0),(IF(AND('Pilot Project Budget'!$S$4&lt;&gt;"Multi",'Pilot Project Budget'!$R$4="FY"),ROUND(((1+'Pilot Project Budget'!$S$4)^('W1'!$B$20+3)*'W1'!$G$9+(1+'Pilot Project Budget'!$S$4)^('W1'!$B$20+4)*'W1'!$G$10)/'W1'!$G$5*'Pilot Project Budget'!$E14,0),ROUND('Pilot Project Budget'!$E14*((1+'Pilot Project Budget'!$S$4)^4)/'W1'!$G$5*'W1'!$G$5,0))))))),(IF(AND('Pilot Project Budget'!$S$4="Multi",'Pilot Project Budget'!$R$4="FY"),ROUND(((1+'Pilot Project Budget'!$M14)^('W1'!$B$20+4)*'W1'!$G$9+(1+'Pilot Project Budget'!$M14)^('W1'!$B$20+5)*'W1'!$G$10)/'W1'!$G$5*'Pilot Project Budget'!$E14,0),(IF(AND('Pilot Project Budget'!$S$4="Multi",'Pilot Project Budget'!$R$4="PY"),ROUND('Pilot Project Budget'!$E14*((1+'Pilot Project Budget'!$M14)^4)/'W1'!$G$5*'W1'!$G$5,0),(IF(AND('Pilot Project Budget'!$S$4&lt;&gt;"Multi",'Pilot Project Budget'!$R$4="FY"),ROUND(((1+'Pilot Project Budget'!$S$4)^('W1'!$B$20+4)*'W1'!$G$9+(1+'Pilot Project Budget'!$S$4)^('W1'!$B$20+5)*'W1'!$G$10)/'W1'!$G$5*'Pilot Project Budget'!$E14,0),ROUND('Pilot Project Budget'!$E14*((1+'Pilot Project Budget'!$S$4)^4)/'W1'!$G$5*'W1'!$G$5,0)))))))))</f>
        <v/>
      </c>
      <c r="K334" s="300"/>
    </row>
    <row r="335" spans="1:11" x14ac:dyDescent="0.2">
      <c r="A335" s="82" t="e">
        <f>#REF!</f>
        <v>#REF!</v>
      </c>
      <c r="B335" s="302">
        <f>IF('W1'!$C$5=0,"",IF(AND('Pilot Project Budget'!$S$4="Multi",'Pilot Project Budget'!$R$4="FY"),ROUND(((1+'Pilot Project Budget'!$M15)^'W1'!$B$20*'W1'!$C$9+(1+'Pilot Project Budget'!$M15)^('W1'!$B$20+1)*'W1'!$C$10)/('W1'!$C$5)*'Pilot Project Budget'!$E15,0),(IF(AND('Pilot Project Budget'!$S$4="Multi",'Pilot Project Budget'!$R$4="PY"),ROUND('Pilot Project Budget'!$E15/('W1'!$C$5)*'W1'!$C$5,0),(IF(AND('Pilot Project Budget'!$S$4&lt;&gt;"Multi",'Pilot Project Budget'!$R$4="FY"),ROUND(((1+'Pilot Project Budget'!$S$4)^'W1'!$B$20*'W1'!$C$9+(1+'Pilot Project Budget'!$S$4)^('W1'!$B$20+1)*'W1'!$C$10)/'W1'!$C$5*'Pilot Project Budget'!$E15,0),ROUND('Pilot Project Budget'!$E15/'W1'!$C$5*'W1'!$C$5,0)))))))</f>
        <v>0</v>
      </c>
      <c r="C335" s="300"/>
      <c r="D335" s="302">
        <f>IF('W1'!$D$5=0,"",IF($C$4=$D$4,(IF(AND('Pilot Project Budget'!$S$4="Multi",'Pilot Project Budget'!$R$4="FY"),ROUND(((1+'Pilot Project Budget'!$M15)^('W1'!$B$20)*'W1'!$D$9+(1+'Pilot Project Budget'!$M15)^('W1'!$B$20+1)*'W1'!$D$10)/'W1'!$D$5*'Pilot Project Budget'!$E15,0),(IF(AND('Pilot Project Budget'!$S$4="Multi",'Pilot Project Budget'!$R$4="PY"),ROUND('Pilot Project Budget'!$E15*(1+'Pilot Project Budget'!$M15)/'W1'!$D$5*'W1'!$D$5,0),(IF(AND('Pilot Project Budget'!$S$4&lt;&gt;"Multi",'Pilot Project Budget'!$R$4="FY"),ROUND(((1+'Pilot Project Budget'!$S$4)^('W1'!$B$20)*'W1'!$D$9+(1+'Pilot Project Budget'!$S$4)^('W1'!$B$20+1)*'W1'!$D$10)/'W1'!$D$5*'Pilot Project Budget'!$E15,0),ROUND('Pilot Project Budget'!$E15*(1+'Pilot Project Budget'!$S$4)/'W1'!$D$5*'W1'!$D$5,0))))))),(IF(AND('Pilot Project Budget'!$S$4="Multi",'Pilot Project Budget'!$R$4="FY"),ROUND(((1+'Pilot Project Budget'!$M15)^('W1'!$B$20+1)*'W1'!$D$9+(1+'Pilot Project Budget'!$M15)^('W1'!$B$20+2)*'W1'!$D$10)/'W1'!$D$5*'Pilot Project Budget'!$E15,0),(IF(AND('Pilot Project Budget'!$S$4="Multi",'Pilot Project Budget'!$R$4="PY"),ROUND('Pilot Project Budget'!$E15*(1+'Pilot Project Budget'!$M15)/'W1'!$D$5*'W1'!$D$5,0),(IF(AND('Pilot Project Budget'!$S$4&lt;&gt;"Multi",'Pilot Project Budget'!$R$4="FY"),ROUND(((1+'Pilot Project Budget'!$S$4)^('W1'!$B$20+1)*'W1'!$D$9+(1+'Pilot Project Budget'!$S$4)^('W1'!$B$20+2)*'W1'!$D$10)/'W1'!$D$5*'Pilot Project Budget'!$E15,0),ROUND('Pilot Project Budget'!$E15*(1+'Pilot Project Budget'!$S$4)/'W1'!$D$5*'W1'!$D$5,0)))))))))</f>
        <v>0</v>
      </c>
      <c r="E335" s="300"/>
      <c r="F335" s="302" t="str">
        <f>IF('W1'!$E$5=0,"",IF($C$4=$D$4,(IF(AND('Pilot Project Budget'!$S$4="Multi",'Pilot Project Budget'!$R$4="FY"),ROUND(((1+'Pilot Project Budget'!$M15)^('W1'!$B$20+1)*'W1'!$E$9+(1+'Pilot Project Budget'!$M15)^('W1'!$B$20+3)*'W1'!$E$10)/'W1'!$E$5*'Pilot Project Budget'!$E15,0),(IF(AND('Pilot Project Budget'!$S$4="Multi",'Pilot Project Budget'!$R$4="PY"),ROUND('Pilot Project Budget'!$E15*((1+'Pilot Project Budget'!$M15)^2)/'W1'!$E$5*'W1'!$E$5,0),(IF(AND('Pilot Project Budget'!$S$4&lt;&gt;"Multi",'Pilot Project Budget'!$R$4="FY"),ROUND(((1+'Pilot Project Budget'!$S$4)^('W1'!$B$20+1)*'W1'!$E$9+(1+'Pilot Project Budget'!$S$4)^('W1'!$B$20+2)*'W1'!$E$10)/'W1'!$E$5*'Pilot Project Budget'!$E15,0),ROUND('Pilot Project Budget'!$E15*((1+'Pilot Project Budget'!$S$4)^2)/'W1'!$E$5*'W1'!$E$5,0))))))),(IF(AND('Pilot Project Budget'!$S$4="Multi",'Pilot Project Budget'!$R$4="FY"),ROUND(((1+'Pilot Project Budget'!$M15)^('W1'!$B$20+2)*'W1'!$E$9+(1+'Pilot Project Budget'!$M15)^('W1'!$B$20+3)*'W1'!$E$10)/'W1'!$E$5*'Pilot Project Budget'!$E15,0),(IF(AND('Pilot Project Budget'!$S$4="Multi",'Pilot Project Budget'!$R$4="PY"),ROUND('Pilot Project Budget'!$E15*((1+'Pilot Project Budget'!$M15)^2)/'W1'!$E$5*'W1'!$E$5,0),(IF(AND('Pilot Project Budget'!$S$4&lt;&gt;"Multi",'Pilot Project Budget'!$R$4="FY"),ROUND(((1+'Pilot Project Budget'!$S$4)^('W1'!$B$20+2)*'W1'!$E$9+(1+'Pilot Project Budget'!$S$4)^('W1'!$B$20+3)*'W1'!$E$10)/'W1'!$E$5*'Pilot Project Budget'!$E15,0),ROUND('Pilot Project Budget'!$E15*((1+'Pilot Project Budget'!$S$4)^2)/'W1'!$E$5*'W1'!$E$5,0)))))))))</f>
        <v/>
      </c>
      <c r="G335" s="300"/>
      <c r="H335" s="302" t="str">
        <f>IF('W1'!$F$5=0,"",IF($C$4=$D$4,(IF(AND('Pilot Project Budget'!$S$4="Multi",'Pilot Project Budget'!$R$4="FY"),ROUND(((1+'Pilot Project Budget'!$M15)^('W1'!$B$20+2)*'W1'!$F$9+(1+'Pilot Project Budget'!$M15)^('W1'!$B$20+3)*'W1'!$F$10)/'W1'!$F$5*'Pilot Project Budget'!$E15,0),(IF(AND('Pilot Project Budget'!$S$4="Multi",'Pilot Project Budget'!$R$4="PY"),ROUND('Pilot Project Budget'!$E15*((1+'Pilot Project Budget'!$M15)^3)/'W1'!$F$5*'W1'!$F$5,0),(IF(AND('Pilot Project Budget'!$S$4&lt;&gt;"Multi",'Pilot Project Budget'!$R$4="FY"),ROUND(((1+'Pilot Project Budget'!$S$4)^('W1'!$B$20+2)*'W1'!$F$9+(1+'Pilot Project Budget'!$S$4)^('W1'!$B$20+3)*'W1'!$F$10)/'W1'!$F$5*'Pilot Project Budget'!$E15,0),ROUND('Pilot Project Budget'!$E15*((1+'Pilot Project Budget'!$S$4)^3)/'W1'!$F$5*'W1'!$F$5,0))))))),(IF(AND('Pilot Project Budget'!$S$4="Multi",'Pilot Project Budget'!$R$4="FY"),ROUND(((1+'Pilot Project Budget'!$M15)^('W1'!$B$20+3)*'W1'!$F$9+(1+'Pilot Project Budget'!$M15)^('W1'!$B$20+4)*'W1'!$F$10)/'W1'!$F$5*'Pilot Project Budget'!$E15,0),(IF(AND('Pilot Project Budget'!$S$4="Multi",'Pilot Project Budget'!$R$4="PY"),ROUND('Pilot Project Budget'!$E15*((1+'Pilot Project Budget'!$M15)^3)/'W1'!$F$5*'W1'!$F$5,0),(IF(AND('Pilot Project Budget'!$S$4&lt;&gt;"Multi",'Pilot Project Budget'!$R$4="FY"),ROUND(((1+'Pilot Project Budget'!$S$4)^('W1'!$B$20+3)*'W1'!$F$9+(1+'Pilot Project Budget'!$S$4)^('W1'!$B$20+4)*'W1'!$F$10)/'W1'!$F$5*'Pilot Project Budget'!$E15,0),ROUND('Pilot Project Budget'!$E15*((1+'Pilot Project Budget'!$S$4)^3)/'W1'!$F$5*'W1'!$F$5,0)))))))))</f>
        <v/>
      </c>
      <c r="I335" s="300"/>
      <c r="J335" s="302" t="str">
        <f>IF('W1'!$G$5=0,"",IF($C$4=$D$4,(IF(AND('Pilot Project Budget'!$S$4="Multi",'Pilot Project Budget'!$R$4="FY"),ROUND(((1+'Pilot Project Budget'!$M15)^('W1'!$B$20+3)*'W1'!$G$9+(1+'Pilot Project Budget'!$M15)^('W1'!$B$20+4)*'W1'!$G$10)/'W1'!$G$5*'Pilot Project Budget'!$E15,0),(IF(AND('Pilot Project Budget'!$S$4="Multi",'Pilot Project Budget'!$R$4="PY"),ROUND('Pilot Project Budget'!$E15*((1+'Pilot Project Budget'!$M15)^4)/'W1'!$G$5*'W1'!$G$5,0),(IF(AND('Pilot Project Budget'!$S$4&lt;&gt;"Multi",'Pilot Project Budget'!$R$4="FY"),ROUND(((1+'Pilot Project Budget'!$S$4)^('W1'!$B$20+3)*'W1'!$G$9+(1+'Pilot Project Budget'!$S$4)^('W1'!$B$20+4)*'W1'!$G$10)/'W1'!$G$5*'Pilot Project Budget'!$E15,0),ROUND('Pilot Project Budget'!$E15*((1+'Pilot Project Budget'!$S$4)^4)/'W1'!$G$5*'W1'!$G$5,0))))))),(IF(AND('Pilot Project Budget'!$S$4="Multi",'Pilot Project Budget'!$R$4="FY"),ROUND(((1+'Pilot Project Budget'!$M15)^('W1'!$B$20+4)*'W1'!$G$9+(1+'Pilot Project Budget'!$M15)^('W1'!$B$20+5)*'W1'!$G$10)/'W1'!$G$5*'Pilot Project Budget'!$E15,0),(IF(AND('Pilot Project Budget'!$S$4="Multi",'Pilot Project Budget'!$R$4="PY"),ROUND('Pilot Project Budget'!$E15*((1+'Pilot Project Budget'!$M15)^4)/'W1'!$G$5*'W1'!$G$5,0),(IF(AND('Pilot Project Budget'!$S$4&lt;&gt;"Multi",'Pilot Project Budget'!$R$4="FY"),ROUND(((1+'Pilot Project Budget'!$S$4)^('W1'!$B$20+4)*'W1'!$G$9+(1+'Pilot Project Budget'!$S$4)^('W1'!$B$20+5)*'W1'!$G$10)/'W1'!$G$5*'Pilot Project Budget'!$E15,0),ROUND('Pilot Project Budget'!$E15*((1+'Pilot Project Budget'!$S$4)^4)/'W1'!$G$5*'W1'!$G$5,0)))))))))</f>
        <v/>
      </c>
      <c r="K335" s="300"/>
    </row>
    <row r="336" spans="1:11" x14ac:dyDescent="0.2">
      <c r="A336" s="82" t="e">
        <f>#REF!</f>
        <v>#REF!</v>
      </c>
      <c r="B336" s="302">
        <f>IF('W1'!$C$5=0,"",IF(AND('Pilot Project Budget'!$S$4="Multi",'Pilot Project Budget'!$R$4="FY"),ROUND(((1+'Pilot Project Budget'!$M16)^'W1'!$B$20*'W1'!$C$9+(1+'Pilot Project Budget'!$M16)^('W1'!$B$20+1)*'W1'!$C$10)/('W1'!$C$5)*'Pilot Project Budget'!$E16,0),(IF(AND('Pilot Project Budget'!$S$4="Multi",'Pilot Project Budget'!$R$4="PY"),ROUND('Pilot Project Budget'!$E16/('W1'!$C$5)*'W1'!$C$5,0),(IF(AND('Pilot Project Budget'!$S$4&lt;&gt;"Multi",'Pilot Project Budget'!$R$4="FY"),ROUND(((1+'Pilot Project Budget'!$S$4)^'W1'!$B$20*'W1'!$C$9+(1+'Pilot Project Budget'!$S$4)^('W1'!$B$20+1)*'W1'!$C$10)/'W1'!$C$5*'Pilot Project Budget'!$E16,0),ROUND('Pilot Project Budget'!$E16/'W1'!$C$5*'W1'!$C$5,0)))))))</f>
        <v>0</v>
      </c>
      <c r="C336" s="300"/>
      <c r="D336" s="302">
        <f>IF('W1'!$D$5=0,"",IF($C$4=$D$4,(IF(AND('Pilot Project Budget'!$S$4="Multi",'Pilot Project Budget'!$R$4="FY"),ROUND(((1+'Pilot Project Budget'!$M16)^('W1'!$B$20)*'W1'!$D$9+(1+'Pilot Project Budget'!$M16)^('W1'!$B$20+1)*'W1'!$D$10)/'W1'!$D$5*'Pilot Project Budget'!$E16,0),(IF(AND('Pilot Project Budget'!$S$4="Multi",'Pilot Project Budget'!$R$4="PY"),ROUND('Pilot Project Budget'!$E16*(1+'Pilot Project Budget'!$M16)/'W1'!$D$5*'W1'!$D$5,0),(IF(AND('Pilot Project Budget'!$S$4&lt;&gt;"Multi",'Pilot Project Budget'!$R$4="FY"),ROUND(((1+'Pilot Project Budget'!$S$4)^('W1'!$B$20)*'W1'!$D$9+(1+'Pilot Project Budget'!$S$4)^('W1'!$B$20+1)*'W1'!$D$10)/'W1'!$D$5*'Pilot Project Budget'!$E16,0),ROUND('Pilot Project Budget'!$E16*(1+'Pilot Project Budget'!$S$4)/'W1'!$D$5*'W1'!$D$5,0))))))),(IF(AND('Pilot Project Budget'!$S$4="Multi",'Pilot Project Budget'!$R$4="FY"),ROUND(((1+'Pilot Project Budget'!$M16)^('W1'!$B$20+1)*'W1'!$D$9+(1+'Pilot Project Budget'!$M16)^('W1'!$B$20+2)*'W1'!$D$10)/'W1'!$D$5*'Pilot Project Budget'!$E16,0),(IF(AND('Pilot Project Budget'!$S$4="Multi",'Pilot Project Budget'!$R$4="PY"),ROUND('Pilot Project Budget'!$E16*(1+'Pilot Project Budget'!$M16)/'W1'!$D$5*'W1'!$D$5,0),(IF(AND('Pilot Project Budget'!$S$4&lt;&gt;"Multi",'Pilot Project Budget'!$R$4="FY"),ROUND(((1+'Pilot Project Budget'!$S$4)^('W1'!$B$20+1)*'W1'!$D$9+(1+'Pilot Project Budget'!$S$4)^('W1'!$B$20+2)*'W1'!$D$10)/'W1'!$D$5*'Pilot Project Budget'!$E16,0),ROUND('Pilot Project Budget'!$E16*(1+'Pilot Project Budget'!$S$4)/'W1'!$D$5*'W1'!$D$5,0)))))))))</f>
        <v>0</v>
      </c>
      <c r="E336" s="300"/>
      <c r="F336" s="302" t="str">
        <f>IF('W1'!$E$5=0,"",IF($C$4=$D$4,(IF(AND('Pilot Project Budget'!$S$4="Multi",'Pilot Project Budget'!$R$4="FY"),ROUND(((1+'Pilot Project Budget'!$M16)^('W1'!$B$20+1)*'W1'!$E$9+(1+'Pilot Project Budget'!$M16)^('W1'!$B$20+3)*'W1'!$E$10)/'W1'!$E$5*'Pilot Project Budget'!$E16,0),(IF(AND('Pilot Project Budget'!$S$4="Multi",'Pilot Project Budget'!$R$4="PY"),ROUND('Pilot Project Budget'!$E16*((1+'Pilot Project Budget'!$M16)^2)/'W1'!$E$5*'W1'!$E$5,0),(IF(AND('Pilot Project Budget'!$S$4&lt;&gt;"Multi",'Pilot Project Budget'!$R$4="FY"),ROUND(((1+'Pilot Project Budget'!$S$4)^('W1'!$B$20+1)*'W1'!$E$9+(1+'Pilot Project Budget'!$S$4)^('W1'!$B$20+2)*'W1'!$E$10)/'W1'!$E$5*'Pilot Project Budget'!$E16,0),ROUND('Pilot Project Budget'!$E16*((1+'Pilot Project Budget'!$S$4)^2)/'W1'!$E$5*'W1'!$E$5,0))))))),(IF(AND('Pilot Project Budget'!$S$4="Multi",'Pilot Project Budget'!$R$4="FY"),ROUND(((1+'Pilot Project Budget'!$M16)^('W1'!$B$20+2)*'W1'!$E$9+(1+'Pilot Project Budget'!$M16)^('W1'!$B$20+3)*'W1'!$E$10)/'W1'!$E$5*'Pilot Project Budget'!$E16,0),(IF(AND('Pilot Project Budget'!$S$4="Multi",'Pilot Project Budget'!$R$4="PY"),ROUND('Pilot Project Budget'!$E16*((1+'Pilot Project Budget'!$M16)^2)/'W1'!$E$5*'W1'!$E$5,0),(IF(AND('Pilot Project Budget'!$S$4&lt;&gt;"Multi",'Pilot Project Budget'!$R$4="FY"),ROUND(((1+'Pilot Project Budget'!$S$4)^('W1'!$B$20+2)*'W1'!$E$9+(1+'Pilot Project Budget'!$S$4)^('W1'!$B$20+3)*'W1'!$E$10)/'W1'!$E$5*'Pilot Project Budget'!$E16,0),ROUND('Pilot Project Budget'!$E16*((1+'Pilot Project Budget'!$S$4)^2)/'W1'!$E$5*'W1'!$E$5,0)))))))))</f>
        <v/>
      </c>
      <c r="G336" s="300"/>
      <c r="H336" s="302" t="str">
        <f>IF('W1'!$F$5=0,"",IF($C$4=$D$4,(IF(AND('Pilot Project Budget'!$S$4="Multi",'Pilot Project Budget'!$R$4="FY"),ROUND(((1+'Pilot Project Budget'!$M16)^('W1'!$B$20+2)*'W1'!$F$9+(1+'Pilot Project Budget'!$M16)^('W1'!$B$20+3)*'W1'!$F$10)/'W1'!$F$5*'Pilot Project Budget'!$E16,0),(IF(AND('Pilot Project Budget'!$S$4="Multi",'Pilot Project Budget'!$R$4="PY"),ROUND('Pilot Project Budget'!$E16*((1+'Pilot Project Budget'!$M16)^3)/'W1'!$F$5*'W1'!$F$5,0),(IF(AND('Pilot Project Budget'!$S$4&lt;&gt;"Multi",'Pilot Project Budget'!$R$4="FY"),ROUND(((1+'Pilot Project Budget'!$S$4)^('W1'!$B$20+2)*'W1'!$F$9+(1+'Pilot Project Budget'!$S$4)^('W1'!$B$20+3)*'W1'!$F$10)/'W1'!$F$5*'Pilot Project Budget'!$E16,0),ROUND('Pilot Project Budget'!$E16*((1+'Pilot Project Budget'!$S$4)^3)/'W1'!$F$5*'W1'!$F$5,0))))))),(IF(AND('Pilot Project Budget'!$S$4="Multi",'Pilot Project Budget'!$R$4="FY"),ROUND(((1+'Pilot Project Budget'!$M16)^('W1'!$B$20+3)*'W1'!$F$9+(1+'Pilot Project Budget'!$M16)^('W1'!$B$20+4)*'W1'!$F$10)/'W1'!$F$5*'Pilot Project Budget'!$E16,0),(IF(AND('Pilot Project Budget'!$S$4="Multi",'Pilot Project Budget'!$R$4="PY"),ROUND('Pilot Project Budget'!$E16*((1+'Pilot Project Budget'!$M16)^3)/'W1'!$F$5*'W1'!$F$5,0),(IF(AND('Pilot Project Budget'!$S$4&lt;&gt;"Multi",'Pilot Project Budget'!$R$4="FY"),ROUND(((1+'Pilot Project Budget'!$S$4)^('W1'!$B$20+3)*'W1'!$F$9+(1+'Pilot Project Budget'!$S$4)^('W1'!$B$20+4)*'W1'!$F$10)/'W1'!$F$5*'Pilot Project Budget'!$E16,0),ROUND('Pilot Project Budget'!$E16*((1+'Pilot Project Budget'!$S$4)^3)/'W1'!$F$5*'W1'!$F$5,0)))))))))</f>
        <v/>
      </c>
      <c r="I336" s="300"/>
      <c r="J336" s="302" t="str">
        <f>IF('W1'!$G$5=0,"",IF($C$4=$D$4,(IF(AND('Pilot Project Budget'!$S$4="Multi",'Pilot Project Budget'!$R$4="FY"),ROUND(((1+'Pilot Project Budget'!$M16)^('W1'!$B$20+3)*'W1'!$G$9+(1+'Pilot Project Budget'!$M16)^('W1'!$B$20+4)*'W1'!$G$10)/'W1'!$G$5*'Pilot Project Budget'!$E16,0),(IF(AND('Pilot Project Budget'!$S$4="Multi",'Pilot Project Budget'!$R$4="PY"),ROUND('Pilot Project Budget'!$E16*((1+'Pilot Project Budget'!$M16)^4)/'W1'!$G$5*'W1'!$G$5,0),(IF(AND('Pilot Project Budget'!$S$4&lt;&gt;"Multi",'Pilot Project Budget'!$R$4="FY"),ROUND(((1+'Pilot Project Budget'!$S$4)^('W1'!$B$20+3)*'W1'!$G$9+(1+'Pilot Project Budget'!$S$4)^('W1'!$B$20+4)*'W1'!$G$10)/'W1'!$G$5*'Pilot Project Budget'!$E16,0),ROUND('Pilot Project Budget'!$E16*((1+'Pilot Project Budget'!$S$4)^4)/'W1'!$G$5*'W1'!$G$5,0))))))),(IF(AND('Pilot Project Budget'!$S$4="Multi",'Pilot Project Budget'!$R$4="FY"),ROUND(((1+'Pilot Project Budget'!$M16)^('W1'!$B$20+4)*'W1'!$G$9+(1+'Pilot Project Budget'!$M16)^('W1'!$B$20+5)*'W1'!$G$10)/'W1'!$G$5*'Pilot Project Budget'!$E16,0),(IF(AND('Pilot Project Budget'!$S$4="Multi",'Pilot Project Budget'!$R$4="PY"),ROUND('Pilot Project Budget'!$E16*((1+'Pilot Project Budget'!$M16)^4)/'W1'!$G$5*'W1'!$G$5,0),(IF(AND('Pilot Project Budget'!$S$4&lt;&gt;"Multi",'Pilot Project Budget'!$R$4="FY"),ROUND(((1+'Pilot Project Budget'!$S$4)^('W1'!$B$20+4)*'W1'!$G$9+(1+'Pilot Project Budget'!$S$4)^('W1'!$B$20+5)*'W1'!$G$10)/'W1'!$G$5*'Pilot Project Budget'!$E16,0),ROUND('Pilot Project Budget'!$E16*((1+'Pilot Project Budget'!$S$4)^4)/'W1'!$G$5*'W1'!$G$5,0)))))))))</f>
        <v/>
      </c>
      <c r="K336" s="300"/>
    </row>
    <row r="337" spans="1:11" x14ac:dyDescent="0.2">
      <c r="A337" s="82" t="e">
        <f>#REF!</f>
        <v>#REF!</v>
      </c>
      <c r="B337" s="302">
        <f>IF('W1'!$C$5=0,"",IF(AND('Pilot Project Budget'!$S$4="Multi",'Pilot Project Budget'!$R$4="FY"),ROUND(((1+'Pilot Project Budget'!$M17)^'W1'!$B$20*'W1'!$C$9+(1+'Pilot Project Budget'!$M17)^('W1'!$B$20+1)*'W1'!$C$10)/('W1'!$C$5)*'Pilot Project Budget'!$E17,0),(IF(AND('Pilot Project Budget'!$S$4="Multi",'Pilot Project Budget'!$R$4="PY"),ROUND('Pilot Project Budget'!$E17/('W1'!$C$5)*'W1'!$C$5,0),(IF(AND('Pilot Project Budget'!$S$4&lt;&gt;"Multi",'Pilot Project Budget'!$R$4="FY"),ROUND(((1+'Pilot Project Budget'!$S$4)^'W1'!$B$20*'W1'!$C$9+(1+'Pilot Project Budget'!$S$4)^('W1'!$B$20+1)*'W1'!$C$10)/'W1'!$C$5*'Pilot Project Budget'!$E17,0),ROUND('Pilot Project Budget'!$E17/'W1'!$C$5*'W1'!$C$5,0)))))))</f>
        <v>0</v>
      </c>
      <c r="C337" s="300"/>
      <c r="D337" s="302">
        <f>IF('W1'!$D$5=0,"",IF($C$4=$D$4,(IF(AND('Pilot Project Budget'!$S$4="Multi",'Pilot Project Budget'!$R$4="FY"),ROUND(((1+'Pilot Project Budget'!$M17)^('W1'!$B$20)*'W1'!$D$9+(1+'Pilot Project Budget'!$M17)^('W1'!$B$20+1)*'W1'!$D$10)/'W1'!$D$5*'Pilot Project Budget'!$E17,0),(IF(AND('Pilot Project Budget'!$S$4="Multi",'Pilot Project Budget'!$R$4="PY"),ROUND('Pilot Project Budget'!$E17*(1+'Pilot Project Budget'!$M17)/'W1'!$D$5*'W1'!$D$5,0),(IF(AND('Pilot Project Budget'!$S$4&lt;&gt;"Multi",'Pilot Project Budget'!$R$4="FY"),ROUND(((1+'Pilot Project Budget'!$S$4)^('W1'!$B$20)*'W1'!$D$9+(1+'Pilot Project Budget'!$S$4)^('W1'!$B$20+1)*'W1'!$D$10)/'W1'!$D$5*'Pilot Project Budget'!$E17,0),ROUND('Pilot Project Budget'!$E17*(1+'Pilot Project Budget'!$S$4)/'W1'!$D$5*'W1'!$D$5,0))))))),(IF(AND('Pilot Project Budget'!$S$4="Multi",'Pilot Project Budget'!$R$4="FY"),ROUND(((1+'Pilot Project Budget'!$M17)^('W1'!$B$20+1)*'W1'!$D$9+(1+'Pilot Project Budget'!$M17)^('W1'!$B$20+2)*'W1'!$D$10)/'W1'!$D$5*'Pilot Project Budget'!$E17,0),(IF(AND('Pilot Project Budget'!$S$4="Multi",'Pilot Project Budget'!$R$4="PY"),ROUND('Pilot Project Budget'!$E17*(1+'Pilot Project Budget'!$M17)/'W1'!$D$5*'W1'!$D$5,0),(IF(AND('Pilot Project Budget'!$S$4&lt;&gt;"Multi",'Pilot Project Budget'!$R$4="FY"),ROUND(((1+'Pilot Project Budget'!$S$4)^('W1'!$B$20+1)*'W1'!$D$9+(1+'Pilot Project Budget'!$S$4)^('W1'!$B$20+2)*'W1'!$D$10)/'W1'!$D$5*'Pilot Project Budget'!$E17,0),ROUND('Pilot Project Budget'!$E17*(1+'Pilot Project Budget'!$S$4)/'W1'!$D$5*'W1'!$D$5,0)))))))))</f>
        <v>0</v>
      </c>
      <c r="E337" s="300"/>
      <c r="F337" s="302" t="str">
        <f>IF('W1'!$E$5=0,"",IF($C$4=$D$4,(IF(AND('Pilot Project Budget'!$S$4="Multi",'Pilot Project Budget'!$R$4="FY"),ROUND(((1+'Pilot Project Budget'!$M17)^('W1'!$B$20+1)*'W1'!$E$9+(1+'Pilot Project Budget'!$M17)^('W1'!$B$20+3)*'W1'!$E$10)/'W1'!$E$5*'Pilot Project Budget'!$E17,0),(IF(AND('Pilot Project Budget'!$S$4="Multi",'Pilot Project Budget'!$R$4="PY"),ROUND('Pilot Project Budget'!$E17*((1+'Pilot Project Budget'!$M17)^2)/'W1'!$E$5*'W1'!$E$5,0),(IF(AND('Pilot Project Budget'!$S$4&lt;&gt;"Multi",'Pilot Project Budget'!$R$4="FY"),ROUND(((1+'Pilot Project Budget'!$S$4)^('W1'!$B$20+1)*'W1'!$E$9+(1+'Pilot Project Budget'!$S$4)^('W1'!$B$20+2)*'W1'!$E$10)/'W1'!$E$5*'Pilot Project Budget'!$E17,0),ROUND('Pilot Project Budget'!$E17*((1+'Pilot Project Budget'!$S$4)^2)/'W1'!$E$5*'W1'!$E$5,0))))))),(IF(AND('Pilot Project Budget'!$S$4="Multi",'Pilot Project Budget'!$R$4="FY"),ROUND(((1+'Pilot Project Budget'!$M17)^('W1'!$B$20+2)*'W1'!$E$9+(1+'Pilot Project Budget'!$M17)^('W1'!$B$20+3)*'W1'!$E$10)/'W1'!$E$5*'Pilot Project Budget'!$E17,0),(IF(AND('Pilot Project Budget'!$S$4="Multi",'Pilot Project Budget'!$R$4="PY"),ROUND('Pilot Project Budget'!$E17*((1+'Pilot Project Budget'!$M17)^2)/'W1'!$E$5*'W1'!$E$5,0),(IF(AND('Pilot Project Budget'!$S$4&lt;&gt;"Multi",'Pilot Project Budget'!$R$4="FY"),ROUND(((1+'Pilot Project Budget'!$S$4)^('W1'!$B$20+2)*'W1'!$E$9+(1+'Pilot Project Budget'!$S$4)^('W1'!$B$20+3)*'W1'!$E$10)/'W1'!$E$5*'Pilot Project Budget'!$E17,0),ROUND('Pilot Project Budget'!$E17*((1+'Pilot Project Budget'!$S$4)^2)/'W1'!$E$5*'W1'!$E$5,0)))))))))</f>
        <v/>
      </c>
      <c r="G337" s="300"/>
      <c r="H337" s="302" t="str">
        <f>IF('W1'!$F$5=0,"",IF($C$4=$D$4,(IF(AND('Pilot Project Budget'!$S$4="Multi",'Pilot Project Budget'!$R$4="FY"),ROUND(((1+'Pilot Project Budget'!$M17)^('W1'!$B$20+2)*'W1'!$F$9+(1+'Pilot Project Budget'!$M17)^('W1'!$B$20+3)*'W1'!$F$10)/'W1'!$F$5*'Pilot Project Budget'!$E17,0),(IF(AND('Pilot Project Budget'!$S$4="Multi",'Pilot Project Budget'!$R$4="PY"),ROUND('Pilot Project Budget'!$E17*((1+'Pilot Project Budget'!$M17)^3)/'W1'!$F$5*'W1'!$F$5,0),(IF(AND('Pilot Project Budget'!$S$4&lt;&gt;"Multi",'Pilot Project Budget'!$R$4="FY"),ROUND(((1+'Pilot Project Budget'!$S$4)^('W1'!$B$20+2)*'W1'!$F$9+(1+'Pilot Project Budget'!$S$4)^('W1'!$B$20+3)*'W1'!$F$10)/'W1'!$F$5*'Pilot Project Budget'!$E17,0),ROUND('Pilot Project Budget'!$E17*((1+'Pilot Project Budget'!$S$4)^3)/'W1'!$F$5*'W1'!$F$5,0))))))),(IF(AND('Pilot Project Budget'!$S$4="Multi",'Pilot Project Budget'!$R$4="FY"),ROUND(((1+'Pilot Project Budget'!$M17)^('W1'!$B$20+3)*'W1'!$F$9+(1+'Pilot Project Budget'!$M17)^('W1'!$B$20+4)*'W1'!$F$10)/'W1'!$F$5*'Pilot Project Budget'!$E17,0),(IF(AND('Pilot Project Budget'!$S$4="Multi",'Pilot Project Budget'!$R$4="PY"),ROUND('Pilot Project Budget'!$E17*((1+'Pilot Project Budget'!$M17)^3)/'W1'!$F$5*'W1'!$F$5,0),(IF(AND('Pilot Project Budget'!$S$4&lt;&gt;"Multi",'Pilot Project Budget'!$R$4="FY"),ROUND(((1+'Pilot Project Budget'!$S$4)^('W1'!$B$20+3)*'W1'!$F$9+(1+'Pilot Project Budget'!$S$4)^('W1'!$B$20+4)*'W1'!$F$10)/'W1'!$F$5*'Pilot Project Budget'!$E17,0),ROUND('Pilot Project Budget'!$E17*((1+'Pilot Project Budget'!$S$4)^3)/'W1'!$F$5*'W1'!$F$5,0)))))))))</f>
        <v/>
      </c>
      <c r="I337" s="300"/>
      <c r="J337" s="302" t="str">
        <f>IF('W1'!$G$5=0,"",IF($C$4=$D$4,(IF(AND('Pilot Project Budget'!$S$4="Multi",'Pilot Project Budget'!$R$4="FY"),ROUND(((1+'Pilot Project Budget'!$M17)^('W1'!$B$20+3)*'W1'!$G$9+(1+'Pilot Project Budget'!$M17)^('W1'!$B$20+4)*'W1'!$G$10)/'W1'!$G$5*'Pilot Project Budget'!$E17,0),(IF(AND('Pilot Project Budget'!$S$4="Multi",'Pilot Project Budget'!$R$4="PY"),ROUND('Pilot Project Budget'!$E17*((1+'Pilot Project Budget'!$M17)^4)/'W1'!$G$5*'W1'!$G$5,0),(IF(AND('Pilot Project Budget'!$S$4&lt;&gt;"Multi",'Pilot Project Budget'!$R$4="FY"),ROUND(((1+'Pilot Project Budget'!$S$4)^('W1'!$B$20+3)*'W1'!$G$9+(1+'Pilot Project Budget'!$S$4)^('W1'!$B$20+4)*'W1'!$G$10)/'W1'!$G$5*'Pilot Project Budget'!$E17,0),ROUND('Pilot Project Budget'!$E17*((1+'Pilot Project Budget'!$S$4)^4)/'W1'!$G$5*'W1'!$G$5,0))))))),(IF(AND('Pilot Project Budget'!$S$4="Multi",'Pilot Project Budget'!$R$4="FY"),ROUND(((1+'Pilot Project Budget'!$M17)^('W1'!$B$20+4)*'W1'!$G$9+(1+'Pilot Project Budget'!$M17)^('W1'!$B$20+5)*'W1'!$G$10)/'W1'!$G$5*'Pilot Project Budget'!$E17,0),(IF(AND('Pilot Project Budget'!$S$4="Multi",'Pilot Project Budget'!$R$4="PY"),ROUND('Pilot Project Budget'!$E17*((1+'Pilot Project Budget'!$M17)^4)/'W1'!$G$5*'W1'!$G$5,0),(IF(AND('Pilot Project Budget'!$S$4&lt;&gt;"Multi",'Pilot Project Budget'!$R$4="FY"),ROUND(((1+'Pilot Project Budget'!$S$4)^('W1'!$B$20+4)*'W1'!$G$9+(1+'Pilot Project Budget'!$S$4)^('W1'!$B$20+5)*'W1'!$G$10)/'W1'!$G$5*'Pilot Project Budget'!$E17,0),ROUND('Pilot Project Budget'!$E17*((1+'Pilot Project Budget'!$S$4)^4)/'W1'!$G$5*'W1'!$G$5,0)))))))))</f>
        <v/>
      </c>
      <c r="K337" s="300"/>
    </row>
    <row r="338" spans="1:11" x14ac:dyDescent="0.2">
      <c r="A338" s="82" t="e">
        <f>#REF!</f>
        <v>#REF!</v>
      </c>
      <c r="B338" s="302">
        <f>IF('W1'!$C$5=0,"",IF(AND('Pilot Project Budget'!$S$4="Multi",'Pilot Project Budget'!$R$4="FY"),ROUND(((1+'Pilot Project Budget'!$M18)^'W1'!$B$20*'W1'!$C$9+(1+'Pilot Project Budget'!$M18)^('W1'!$B$20+1)*'W1'!$C$10)/('W1'!$C$5)*'Pilot Project Budget'!$E18,0),(IF(AND('Pilot Project Budget'!$S$4="Multi",'Pilot Project Budget'!$R$4="PY"),ROUND('Pilot Project Budget'!$E18/('W1'!$C$5)*'W1'!$C$5,0),(IF(AND('Pilot Project Budget'!$S$4&lt;&gt;"Multi",'Pilot Project Budget'!$R$4="FY"),ROUND(((1+'Pilot Project Budget'!$S$4)^'W1'!$B$20*'W1'!$C$9+(1+'Pilot Project Budget'!$S$4)^('W1'!$B$20+1)*'W1'!$C$10)/'W1'!$C$5*'Pilot Project Budget'!$E18,0),ROUND('Pilot Project Budget'!$E18/'W1'!$C$5*'W1'!$C$5,0)))))))</f>
        <v>0</v>
      </c>
      <c r="C338" s="300"/>
      <c r="D338" s="302">
        <f>IF('W1'!$D$5=0,"",IF($C$4=$D$4,(IF(AND('Pilot Project Budget'!$S$4="Multi",'Pilot Project Budget'!$R$4="FY"),ROUND(((1+'Pilot Project Budget'!$M18)^('W1'!$B$20)*'W1'!$D$9+(1+'Pilot Project Budget'!$M18)^('W1'!$B$20+1)*'W1'!$D$10)/'W1'!$D$5*'Pilot Project Budget'!$E18,0),(IF(AND('Pilot Project Budget'!$S$4="Multi",'Pilot Project Budget'!$R$4="PY"),ROUND('Pilot Project Budget'!$E18*(1+'Pilot Project Budget'!$M18)/'W1'!$D$5*'W1'!$D$5,0),(IF(AND('Pilot Project Budget'!$S$4&lt;&gt;"Multi",'Pilot Project Budget'!$R$4="FY"),ROUND(((1+'Pilot Project Budget'!$S$4)^('W1'!$B$20)*'W1'!$D$9+(1+'Pilot Project Budget'!$S$4)^('W1'!$B$20+1)*'W1'!$D$10)/'W1'!$D$5*'Pilot Project Budget'!$E18,0),ROUND('Pilot Project Budget'!$E18*(1+'Pilot Project Budget'!$S$4)/'W1'!$D$5*'W1'!$D$5,0))))))),(IF(AND('Pilot Project Budget'!$S$4="Multi",'Pilot Project Budget'!$R$4="FY"),ROUND(((1+'Pilot Project Budget'!$M18)^('W1'!$B$20+1)*'W1'!$D$9+(1+'Pilot Project Budget'!$M18)^('W1'!$B$20+2)*'W1'!$D$10)/'W1'!$D$5*'Pilot Project Budget'!$E18,0),(IF(AND('Pilot Project Budget'!$S$4="Multi",'Pilot Project Budget'!$R$4="PY"),ROUND('Pilot Project Budget'!$E18*(1+'Pilot Project Budget'!$M18)/'W1'!$D$5*'W1'!$D$5,0),(IF(AND('Pilot Project Budget'!$S$4&lt;&gt;"Multi",'Pilot Project Budget'!$R$4="FY"),ROUND(((1+'Pilot Project Budget'!$S$4)^('W1'!$B$20+1)*'W1'!$D$9+(1+'Pilot Project Budget'!$S$4)^('W1'!$B$20+2)*'W1'!$D$10)/'W1'!$D$5*'Pilot Project Budget'!$E18,0),ROUND('Pilot Project Budget'!$E18*(1+'Pilot Project Budget'!$S$4)/'W1'!$D$5*'W1'!$D$5,0)))))))))</f>
        <v>0</v>
      </c>
      <c r="E338" s="300"/>
      <c r="F338" s="302" t="str">
        <f>IF('W1'!$E$5=0,"",IF($C$4=$D$4,(IF(AND('Pilot Project Budget'!$S$4="Multi",'Pilot Project Budget'!$R$4="FY"),ROUND(((1+'Pilot Project Budget'!$M18)^('W1'!$B$20+1)*'W1'!$E$9+(1+'Pilot Project Budget'!$M18)^('W1'!$B$20+3)*'W1'!$E$10)/'W1'!$E$5*'Pilot Project Budget'!$E18,0),(IF(AND('Pilot Project Budget'!$S$4="Multi",'Pilot Project Budget'!$R$4="PY"),ROUND('Pilot Project Budget'!$E18*((1+'Pilot Project Budget'!$M18)^2)/'W1'!$E$5*'W1'!$E$5,0),(IF(AND('Pilot Project Budget'!$S$4&lt;&gt;"Multi",'Pilot Project Budget'!$R$4="FY"),ROUND(((1+'Pilot Project Budget'!$S$4)^('W1'!$B$20+1)*'W1'!$E$9+(1+'Pilot Project Budget'!$S$4)^('W1'!$B$20+2)*'W1'!$E$10)/'W1'!$E$5*'Pilot Project Budget'!$E18,0),ROUND('Pilot Project Budget'!$E18*((1+'Pilot Project Budget'!$S$4)^2)/'W1'!$E$5*'W1'!$E$5,0))))))),(IF(AND('Pilot Project Budget'!$S$4="Multi",'Pilot Project Budget'!$R$4="FY"),ROUND(((1+'Pilot Project Budget'!$M18)^('W1'!$B$20+2)*'W1'!$E$9+(1+'Pilot Project Budget'!$M18)^('W1'!$B$20+3)*'W1'!$E$10)/'W1'!$E$5*'Pilot Project Budget'!$E18,0),(IF(AND('Pilot Project Budget'!$S$4="Multi",'Pilot Project Budget'!$R$4="PY"),ROUND('Pilot Project Budget'!$E18*((1+'Pilot Project Budget'!$M18)^2)/'W1'!$E$5*'W1'!$E$5,0),(IF(AND('Pilot Project Budget'!$S$4&lt;&gt;"Multi",'Pilot Project Budget'!$R$4="FY"),ROUND(((1+'Pilot Project Budget'!$S$4)^('W1'!$B$20+2)*'W1'!$E$9+(1+'Pilot Project Budget'!$S$4)^('W1'!$B$20+3)*'W1'!$E$10)/'W1'!$E$5*'Pilot Project Budget'!$E18,0),ROUND('Pilot Project Budget'!$E18*((1+'Pilot Project Budget'!$S$4)^2)/'W1'!$E$5*'W1'!$E$5,0)))))))))</f>
        <v/>
      </c>
      <c r="G338" s="300"/>
      <c r="H338" s="302" t="str">
        <f>IF('W1'!$F$5=0,"",IF($C$4=$D$4,(IF(AND('Pilot Project Budget'!$S$4="Multi",'Pilot Project Budget'!$R$4="FY"),ROUND(((1+'Pilot Project Budget'!$M18)^('W1'!$B$20+2)*'W1'!$F$9+(1+'Pilot Project Budget'!$M18)^('W1'!$B$20+3)*'W1'!$F$10)/'W1'!$F$5*'Pilot Project Budget'!$E18,0),(IF(AND('Pilot Project Budget'!$S$4="Multi",'Pilot Project Budget'!$R$4="PY"),ROUND('Pilot Project Budget'!$E18*((1+'Pilot Project Budget'!$M18)^3)/'W1'!$F$5*'W1'!$F$5,0),(IF(AND('Pilot Project Budget'!$S$4&lt;&gt;"Multi",'Pilot Project Budget'!$R$4="FY"),ROUND(((1+'Pilot Project Budget'!$S$4)^('W1'!$B$20+2)*'W1'!$F$9+(1+'Pilot Project Budget'!$S$4)^('W1'!$B$20+3)*'W1'!$F$10)/'W1'!$F$5*'Pilot Project Budget'!$E18,0),ROUND('Pilot Project Budget'!$E18*((1+'Pilot Project Budget'!$S$4)^3)/'W1'!$F$5*'W1'!$F$5,0))))))),(IF(AND('Pilot Project Budget'!$S$4="Multi",'Pilot Project Budget'!$R$4="FY"),ROUND(((1+'Pilot Project Budget'!$M18)^('W1'!$B$20+3)*'W1'!$F$9+(1+'Pilot Project Budget'!$M18)^('W1'!$B$20+4)*'W1'!$F$10)/'W1'!$F$5*'Pilot Project Budget'!$E18,0),(IF(AND('Pilot Project Budget'!$S$4="Multi",'Pilot Project Budget'!$R$4="PY"),ROUND('Pilot Project Budget'!$E18*((1+'Pilot Project Budget'!$M18)^3)/'W1'!$F$5*'W1'!$F$5,0),(IF(AND('Pilot Project Budget'!$S$4&lt;&gt;"Multi",'Pilot Project Budget'!$R$4="FY"),ROUND(((1+'Pilot Project Budget'!$S$4)^('W1'!$B$20+3)*'W1'!$F$9+(1+'Pilot Project Budget'!$S$4)^('W1'!$B$20+4)*'W1'!$F$10)/'W1'!$F$5*'Pilot Project Budget'!$E18,0),ROUND('Pilot Project Budget'!$E18*((1+'Pilot Project Budget'!$S$4)^3)/'W1'!$F$5*'W1'!$F$5,0)))))))))</f>
        <v/>
      </c>
      <c r="I338" s="300"/>
      <c r="J338" s="302" t="str">
        <f>IF('W1'!$G$5=0,"",IF($C$4=$D$4,(IF(AND('Pilot Project Budget'!$S$4="Multi",'Pilot Project Budget'!$R$4="FY"),ROUND(((1+'Pilot Project Budget'!$M18)^('W1'!$B$20+3)*'W1'!$G$9+(1+'Pilot Project Budget'!$M18)^('W1'!$B$20+4)*'W1'!$G$10)/'W1'!$G$5*'Pilot Project Budget'!$E18,0),(IF(AND('Pilot Project Budget'!$S$4="Multi",'Pilot Project Budget'!$R$4="PY"),ROUND('Pilot Project Budget'!$E18*((1+'Pilot Project Budget'!$M18)^4)/'W1'!$G$5*'W1'!$G$5,0),(IF(AND('Pilot Project Budget'!$S$4&lt;&gt;"Multi",'Pilot Project Budget'!$R$4="FY"),ROUND(((1+'Pilot Project Budget'!$S$4)^('W1'!$B$20+3)*'W1'!$G$9+(1+'Pilot Project Budget'!$S$4)^('W1'!$B$20+4)*'W1'!$G$10)/'W1'!$G$5*'Pilot Project Budget'!$E18,0),ROUND('Pilot Project Budget'!$E18*((1+'Pilot Project Budget'!$S$4)^4)/'W1'!$G$5*'W1'!$G$5,0))))))),(IF(AND('Pilot Project Budget'!$S$4="Multi",'Pilot Project Budget'!$R$4="FY"),ROUND(((1+'Pilot Project Budget'!$M18)^('W1'!$B$20+4)*'W1'!$G$9+(1+'Pilot Project Budget'!$M18)^('W1'!$B$20+5)*'W1'!$G$10)/'W1'!$G$5*'Pilot Project Budget'!$E18,0),(IF(AND('Pilot Project Budget'!$S$4="Multi",'Pilot Project Budget'!$R$4="PY"),ROUND('Pilot Project Budget'!$E18*((1+'Pilot Project Budget'!$M18)^4)/'W1'!$G$5*'W1'!$G$5,0),(IF(AND('Pilot Project Budget'!$S$4&lt;&gt;"Multi",'Pilot Project Budget'!$R$4="FY"),ROUND(((1+'Pilot Project Budget'!$S$4)^('W1'!$B$20+4)*'W1'!$G$9+(1+'Pilot Project Budget'!$S$4)^('W1'!$B$20+5)*'W1'!$G$10)/'W1'!$G$5*'Pilot Project Budget'!$E18,0),ROUND('Pilot Project Budget'!$E18*((1+'Pilot Project Budget'!$S$4)^4)/'W1'!$G$5*'W1'!$G$5,0)))))))))</f>
        <v/>
      </c>
      <c r="K338" s="300"/>
    </row>
    <row r="339" spans="1:11" x14ac:dyDescent="0.2">
      <c r="A339" s="82" t="e">
        <f>#REF!</f>
        <v>#REF!</v>
      </c>
      <c r="B339" s="302">
        <f>IF('W1'!$C$5=0,"",IF(AND('Pilot Project Budget'!$S$4="Multi",'Pilot Project Budget'!$R$4="FY"),ROUND(((1+'Pilot Project Budget'!$M19)^'W1'!$B$20*'W1'!$C$9+(1+'Pilot Project Budget'!$M19)^('W1'!$B$20+1)*'W1'!$C$10)/('W1'!$C$5)*'Pilot Project Budget'!$E19,0),(IF(AND('Pilot Project Budget'!$S$4="Multi",'Pilot Project Budget'!$R$4="PY"),ROUND('Pilot Project Budget'!$E19/('W1'!$C$5)*'W1'!$C$5,0),(IF(AND('Pilot Project Budget'!$S$4&lt;&gt;"Multi",'Pilot Project Budget'!$R$4="FY"),ROUND(((1+'Pilot Project Budget'!$S$4)^'W1'!$B$20*'W1'!$C$9+(1+'Pilot Project Budget'!$S$4)^('W1'!$B$20+1)*'W1'!$C$10)/'W1'!$C$5*'Pilot Project Budget'!$E19,0),ROUND('Pilot Project Budget'!$E19/'W1'!$C$5*'W1'!$C$5,0)))))))</f>
        <v>0</v>
      </c>
      <c r="C339" s="300"/>
      <c r="D339" s="302">
        <f>IF('W1'!$D$5=0,"",IF($C$4=$D$4,(IF(AND('Pilot Project Budget'!$S$4="Multi",'Pilot Project Budget'!$R$4="FY"),ROUND(((1+'Pilot Project Budget'!$M19)^('W1'!$B$20)*'W1'!$D$9+(1+'Pilot Project Budget'!$M19)^('W1'!$B$20+1)*'W1'!$D$10)/'W1'!$D$5*'Pilot Project Budget'!$E19,0),(IF(AND('Pilot Project Budget'!$S$4="Multi",'Pilot Project Budget'!$R$4="PY"),ROUND('Pilot Project Budget'!$E19*(1+'Pilot Project Budget'!$M19)/'W1'!$D$5*'W1'!$D$5,0),(IF(AND('Pilot Project Budget'!$S$4&lt;&gt;"Multi",'Pilot Project Budget'!$R$4="FY"),ROUND(((1+'Pilot Project Budget'!$S$4)^('W1'!$B$20)*'W1'!$D$9+(1+'Pilot Project Budget'!$S$4)^('W1'!$B$20+1)*'W1'!$D$10)/'W1'!$D$5*'Pilot Project Budget'!$E19,0),ROUND('Pilot Project Budget'!$E19*(1+'Pilot Project Budget'!$S$4)/'W1'!$D$5*'W1'!$D$5,0))))))),(IF(AND('Pilot Project Budget'!$S$4="Multi",'Pilot Project Budget'!$R$4="FY"),ROUND(((1+'Pilot Project Budget'!$M19)^('W1'!$B$20+1)*'W1'!$D$9+(1+'Pilot Project Budget'!$M19)^('W1'!$B$20+2)*'W1'!$D$10)/'W1'!$D$5*'Pilot Project Budget'!$E19,0),(IF(AND('Pilot Project Budget'!$S$4="Multi",'Pilot Project Budget'!$R$4="PY"),ROUND('Pilot Project Budget'!$E19*(1+'Pilot Project Budget'!$M19)/'W1'!$D$5*'W1'!$D$5,0),(IF(AND('Pilot Project Budget'!$S$4&lt;&gt;"Multi",'Pilot Project Budget'!$R$4="FY"),ROUND(((1+'Pilot Project Budget'!$S$4)^('W1'!$B$20+1)*'W1'!$D$9+(1+'Pilot Project Budget'!$S$4)^('W1'!$B$20+2)*'W1'!$D$10)/'W1'!$D$5*'Pilot Project Budget'!$E19,0),ROUND('Pilot Project Budget'!$E19*(1+'Pilot Project Budget'!$S$4)/'W1'!$D$5*'W1'!$D$5,0)))))))))</f>
        <v>0</v>
      </c>
      <c r="E339" s="300"/>
      <c r="F339" s="302" t="str">
        <f>IF('W1'!$E$5=0,"",IF($C$4=$D$4,(IF(AND('Pilot Project Budget'!$S$4="Multi",'Pilot Project Budget'!$R$4="FY"),ROUND(((1+'Pilot Project Budget'!$M19)^('W1'!$B$20+1)*'W1'!$E$9+(1+'Pilot Project Budget'!$M19)^('W1'!$B$20+3)*'W1'!$E$10)/'W1'!$E$5*'Pilot Project Budget'!$E19,0),(IF(AND('Pilot Project Budget'!$S$4="Multi",'Pilot Project Budget'!$R$4="PY"),ROUND('Pilot Project Budget'!$E19*((1+'Pilot Project Budget'!$M19)^2)/'W1'!$E$5*'W1'!$E$5,0),(IF(AND('Pilot Project Budget'!$S$4&lt;&gt;"Multi",'Pilot Project Budget'!$R$4="FY"),ROUND(((1+'Pilot Project Budget'!$S$4)^('W1'!$B$20+1)*'W1'!$E$9+(1+'Pilot Project Budget'!$S$4)^('W1'!$B$20+2)*'W1'!$E$10)/'W1'!$E$5*'Pilot Project Budget'!$E19,0),ROUND('Pilot Project Budget'!$E19*((1+'Pilot Project Budget'!$S$4)^2)/'W1'!$E$5*'W1'!$E$5,0))))))),(IF(AND('Pilot Project Budget'!$S$4="Multi",'Pilot Project Budget'!$R$4="FY"),ROUND(((1+'Pilot Project Budget'!$M19)^('W1'!$B$20+2)*'W1'!$E$9+(1+'Pilot Project Budget'!$M19)^('W1'!$B$20+3)*'W1'!$E$10)/'W1'!$E$5*'Pilot Project Budget'!$E19,0),(IF(AND('Pilot Project Budget'!$S$4="Multi",'Pilot Project Budget'!$R$4="PY"),ROUND('Pilot Project Budget'!$E19*((1+'Pilot Project Budget'!$M19)^2)/'W1'!$E$5*'W1'!$E$5,0),(IF(AND('Pilot Project Budget'!$S$4&lt;&gt;"Multi",'Pilot Project Budget'!$R$4="FY"),ROUND(((1+'Pilot Project Budget'!$S$4)^('W1'!$B$20+2)*'W1'!$E$9+(1+'Pilot Project Budget'!$S$4)^('W1'!$B$20+3)*'W1'!$E$10)/'W1'!$E$5*'Pilot Project Budget'!$E19,0),ROUND('Pilot Project Budget'!$E19*((1+'Pilot Project Budget'!$S$4)^2)/'W1'!$E$5*'W1'!$E$5,0)))))))))</f>
        <v/>
      </c>
      <c r="G339" s="300"/>
      <c r="H339" s="302" t="str">
        <f>IF('W1'!$F$5=0,"",IF($C$4=$D$4,(IF(AND('Pilot Project Budget'!$S$4="Multi",'Pilot Project Budget'!$R$4="FY"),ROUND(((1+'Pilot Project Budget'!$M19)^('W1'!$B$20+2)*'W1'!$F$9+(1+'Pilot Project Budget'!$M19)^('W1'!$B$20+3)*'W1'!$F$10)/'W1'!$F$5*'Pilot Project Budget'!$E19,0),(IF(AND('Pilot Project Budget'!$S$4="Multi",'Pilot Project Budget'!$R$4="PY"),ROUND('Pilot Project Budget'!$E19*((1+'Pilot Project Budget'!$M19)^3)/'W1'!$F$5*'W1'!$F$5,0),(IF(AND('Pilot Project Budget'!$S$4&lt;&gt;"Multi",'Pilot Project Budget'!$R$4="FY"),ROUND(((1+'Pilot Project Budget'!$S$4)^('W1'!$B$20+2)*'W1'!$F$9+(1+'Pilot Project Budget'!$S$4)^('W1'!$B$20+3)*'W1'!$F$10)/'W1'!$F$5*'Pilot Project Budget'!$E19,0),ROUND('Pilot Project Budget'!$E19*((1+'Pilot Project Budget'!$S$4)^3)/'W1'!$F$5*'W1'!$F$5,0))))))),(IF(AND('Pilot Project Budget'!$S$4="Multi",'Pilot Project Budget'!$R$4="FY"),ROUND(((1+'Pilot Project Budget'!$M19)^('W1'!$B$20+3)*'W1'!$F$9+(1+'Pilot Project Budget'!$M19)^('W1'!$B$20+4)*'W1'!$F$10)/'W1'!$F$5*'Pilot Project Budget'!$E19,0),(IF(AND('Pilot Project Budget'!$S$4="Multi",'Pilot Project Budget'!$R$4="PY"),ROUND('Pilot Project Budget'!$E19*((1+'Pilot Project Budget'!$M19)^3)/'W1'!$F$5*'W1'!$F$5,0),(IF(AND('Pilot Project Budget'!$S$4&lt;&gt;"Multi",'Pilot Project Budget'!$R$4="FY"),ROUND(((1+'Pilot Project Budget'!$S$4)^('W1'!$B$20+3)*'W1'!$F$9+(1+'Pilot Project Budget'!$S$4)^('W1'!$B$20+4)*'W1'!$F$10)/'W1'!$F$5*'Pilot Project Budget'!$E19,0),ROUND('Pilot Project Budget'!$E19*((1+'Pilot Project Budget'!$S$4)^3)/'W1'!$F$5*'W1'!$F$5,0)))))))))</f>
        <v/>
      </c>
      <c r="I339" s="300"/>
      <c r="J339" s="302" t="str">
        <f>IF('W1'!$G$5=0,"",IF($C$4=$D$4,(IF(AND('Pilot Project Budget'!$S$4="Multi",'Pilot Project Budget'!$R$4="FY"),ROUND(((1+'Pilot Project Budget'!$M19)^('W1'!$B$20+3)*'W1'!$G$9+(1+'Pilot Project Budget'!$M19)^('W1'!$B$20+4)*'W1'!$G$10)/'W1'!$G$5*'Pilot Project Budget'!$E19,0),(IF(AND('Pilot Project Budget'!$S$4="Multi",'Pilot Project Budget'!$R$4="PY"),ROUND('Pilot Project Budget'!$E19*((1+'Pilot Project Budget'!$M19)^4)/'W1'!$G$5*'W1'!$G$5,0),(IF(AND('Pilot Project Budget'!$S$4&lt;&gt;"Multi",'Pilot Project Budget'!$R$4="FY"),ROUND(((1+'Pilot Project Budget'!$S$4)^('W1'!$B$20+3)*'W1'!$G$9+(1+'Pilot Project Budget'!$S$4)^('W1'!$B$20+4)*'W1'!$G$10)/'W1'!$G$5*'Pilot Project Budget'!$E19,0),ROUND('Pilot Project Budget'!$E19*((1+'Pilot Project Budget'!$S$4)^4)/'W1'!$G$5*'W1'!$G$5,0))))))),(IF(AND('Pilot Project Budget'!$S$4="Multi",'Pilot Project Budget'!$R$4="FY"),ROUND(((1+'Pilot Project Budget'!$M19)^('W1'!$B$20+4)*'W1'!$G$9+(1+'Pilot Project Budget'!$M19)^('W1'!$B$20+5)*'W1'!$G$10)/'W1'!$G$5*'Pilot Project Budget'!$E19,0),(IF(AND('Pilot Project Budget'!$S$4="Multi",'Pilot Project Budget'!$R$4="PY"),ROUND('Pilot Project Budget'!$E19*((1+'Pilot Project Budget'!$M19)^4)/'W1'!$G$5*'W1'!$G$5,0),(IF(AND('Pilot Project Budget'!$S$4&lt;&gt;"Multi",'Pilot Project Budget'!$R$4="FY"),ROUND(((1+'Pilot Project Budget'!$S$4)^('W1'!$B$20+4)*'W1'!$G$9+(1+'Pilot Project Budget'!$S$4)^('W1'!$B$20+5)*'W1'!$G$10)/'W1'!$G$5*'Pilot Project Budget'!$E19,0),ROUND('Pilot Project Budget'!$E19*((1+'Pilot Project Budget'!$S$4)^4)/'W1'!$G$5*'W1'!$G$5,0)))))))))</f>
        <v/>
      </c>
      <c r="K339" s="300"/>
    </row>
    <row r="340" spans="1:11" x14ac:dyDescent="0.2">
      <c r="A340" s="82" t="e">
        <f>#REF!</f>
        <v>#REF!</v>
      </c>
      <c r="B340" s="302">
        <f>IF('W1'!$C$5=0,"",IF(AND('Pilot Project Budget'!$S$4="Multi",'Pilot Project Budget'!$R$4="FY"),ROUND(((1+'Pilot Project Budget'!$M20)^'W1'!$B$20*'W1'!$C$9+(1+'Pilot Project Budget'!$M20)^('W1'!$B$20+1)*'W1'!$C$10)/('W1'!$C$5)*'Pilot Project Budget'!$E20,0),(IF(AND('Pilot Project Budget'!$S$4="Multi",'Pilot Project Budget'!$R$4="PY"),ROUND('Pilot Project Budget'!$E20/('W1'!$C$5)*'W1'!$C$5,0),(IF(AND('Pilot Project Budget'!$S$4&lt;&gt;"Multi",'Pilot Project Budget'!$R$4="FY"),ROUND(((1+'Pilot Project Budget'!$S$4)^'W1'!$B$20*'W1'!$C$9+(1+'Pilot Project Budget'!$S$4)^('W1'!$B$20+1)*'W1'!$C$10)/'W1'!$C$5*'Pilot Project Budget'!$E20,0),ROUND('Pilot Project Budget'!$E20/'W1'!$C$5*'W1'!$C$5,0)))))))</f>
        <v>0</v>
      </c>
      <c r="C340" s="300"/>
      <c r="D340" s="302">
        <f>IF('W1'!$D$5=0,"",IF($C$4=$D$4,(IF(AND('Pilot Project Budget'!$S$4="Multi",'Pilot Project Budget'!$R$4="FY"),ROUND(((1+'Pilot Project Budget'!$M20)^('W1'!$B$20)*'W1'!$D$9+(1+'Pilot Project Budget'!$M20)^('W1'!$B$20+1)*'W1'!$D$10)/'W1'!$D$5*'Pilot Project Budget'!$E20,0),(IF(AND('Pilot Project Budget'!$S$4="Multi",'Pilot Project Budget'!$R$4="PY"),ROUND('Pilot Project Budget'!$E20*(1+'Pilot Project Budget'!$M20)/'W1'!$D$5*'W1'!$D$5,0),(IF(AND('Pilot Project Budget'!$S$4&lt;&gt;"Multi",'Pilot Project Budget'!$R$4="FY"),ROUND(((1+'Pilot Project Budget'!$S$4)^('W1'!$B$20)*'W1'!$D$9+(1+'Pilot Project Budget'!$S$4)^('W1'!$B$20+1)*'W1'!$D$10)/'W1'!$D$5*'Pilot Project Budget'!$E20,0),ROUND('Pilot Project Budget'!$E20*(1+'Pilot Project Budget'!$S$4)/'W1'!$D$5*'W1'!$D$5,0))))))),(IF(AND('Pilot Project Budget'!$S$4="Multi",'Pilot Project Budget'!$R$4="FY"),ROUND(((1+'Pilot Project Budget'!$M20)^('W1'!$B$20+1)*'W1'!$D$9+(1+'Pilot Project Budget'!$M20)^('W1'!$B$20+2)*'W1'!$D$10)/'W1'!$D$5*'Pilot Project Budget'!$E20,0),(IF(AND('Pilot Project Budget'!$S$4="Multi",'Pilot Project Budget'!$R$4="PY"),ROUND('Pilot Project Budget'!$E20*(1+'Pilot Project Budget'!$M20)/'W1'!$D$5*'W1'!$D$5,0),(IF(AND('Pilot Project Budget'!$S$4&lt;&gt;"Multi",'Pilot Project Budget'!$R$4="FY"),ROUND(((1+'Pilot Project Budget'!$S$4)^('W1'!$B$20+1)*'W1'!$D$9+(1+'Pilot Project Budget'!$S$4)^('W1'!$B$20+2)*'W1'!$D$10)/'W1'!$D$5*'Pilot Project Budget'!$E20,0),ROUND('Pilot Project Budget'!$E20*(1+'Pilot Project Budget'!$S$4)/'W1'!$D$5*'W1'!$D$5,0)))))))))</f>
        <v>0</v>
      </c>
      <c r="E340" s="300"/>
      <c r="F340" s="302" t="str">
        <f>IF('W1'!$E$5=0,"",IF($C$4=$D$4,(IF(AND('Pilot Project Budget'!$S$4="Multi",'Pilot Project Budget'!$R$4="FY"),ROUND(((1+'Pilot Project Budget'!$M20)^('W1'!$B$20+1)*'W1'!$E$9+(1+'Pilot Project Budget'!$M20)^('W1'!$B$20+3)*'W1'!$E$10)/'W1'!$E$5*'Pilot Project Budget'!$E20,0),(IF(AND('Pilot Project Budget'!$S$4="Multi",'Pilot Project Budget'!$R$4="PY"),ROUND('Pilot Project Budget'!$E20*((1+'Pilot Project Budget'!$M20)^2)/'W1'!$E$5*'W1'!$E$5,0),(IF(AND('Pilot Project Budget'!$S$4&lt;&gt;"Multi",'Pilot Project Budget'!$R$4="FY"),ROUND(((1+'Pilot Project Budget'!$S$4)^('W1'!$B$20+1)*'W1'!$E$9+(1+'Pilot Project Budget'!$S$4)^('W1'!$B$20+2)*'W1'!$E$10)/'W1'!$E$5*'Pilot Project Budget'!$E20,0),ROUND('Pilot Project Budget'!$E20*((1+'Pilot Project Budget'!$S$4)^2)/'W1'!$E$5*'W1'!$E$5,0))))))),(IF(AND('Pilot Project Budget'!$S$4="Multi",'Pilot Project Budget'!$R$4="FY"),ROUND(((1+'Pilot Project Budget'!$M20)^('W1'!$B$20+2)*'W1'!$E$9+(1+'Pilot Project Budget'!$M20)^('W1'!$B$20+3)*'W1'!$E$10)/'W1'!$E$5*'Pilot Project Budget'!$E20,0),(IF(AND('Pilot Project Budget'!$S$4="Multi",'Pilot Project Budget'!$R$4="PY"),ROUND('Pilot Project Budget'!$E20*((1+'Pilot Project Budget'!$M20)^2)/'W1'!$E$5*'W1'!$E$5,0),(IF(AND('Pilot Project Budget'!$S$4&lt;&gt;"Multi",'Pilot Project Budget'!$R$4="FY"),ROUND(((1+'Pilot Project Budget'!$S$4)^('W1'!$B$20+2)*'W1'!$E$9+(1+'Pilot Project Budget'!$S$4)^('W1'!$B$20+3)*'W1'!$E$10)/'W1'!$E$5*'Pilot Project Budget'!$E20,0),ROUND('Pilot Project Budget'!$E20*((1+'Pilot Project Budget'!$S$4)^2)/'W1'!$E$5*'W1'!$E$5,0)))))))))</f>
        <v/>
      </c>
      <c r="G340" s="300"/>
      <c r="H340" s="302" t="str">
        <f>IF('W1'!$F$5=0,"",IF($C$4=$D$4,(IF(AND('Pilot Project Budget'!$S$4="Multi",'Pilot Project Budget'!$R$4="FY"),ROUND(((1+'Pilot Project Budget'!$M20)^('W1'!$B$20+2)*'W1'!$F$9+(1+'Pilot Project Budget'!$M20)^('W1'!$B$20+3)*'W1'!$F$10)/'W1'!$F$5*'Pilot Project Budget'!$E20,0),(IF(AND('Pilot Project Budget'!$S$4="Multi",'Pilot Project Budget'!$R$4="PY"),ROUND('Pilot Project Budget'!$E20*((1+'Pilot Project Budget'!$M20)^3)/'W1'!$F$5*'W1'!$F$5,0),(IF(AND('Pilot Project Budget'!$S$4&lt;&gt;"Multi",'Pilot Project Budget'!$R$4="FY"),ROUND(((1+'Pilot Project Budget'!$S$4)^('W1'!$B$20+2)*'W1'!$F$9+(1+'Pilot Project Budget'!$S$4)^('W1'!$B$20+3)*'W1'!$F$10)/'W1'!$F$5*'Pilot Project Budget'!$E20,0),ROUND('Pilot Project Budget'!$E20*((1+'Pilot Project Budget'!$S$4)^3)/'W1'!$F$5*'W1'!$F$5,0))))))),(IF(AND('Pilot Project Budget'!$S$4="Multi",'Pilot Project Budget'!$R$4="FY"),ROUND(((1+'Pilot Project Budget'!$M20)^('W1'!$B$20+3)*'W1'!$F$9+(1+'Pilot Project Budget'!$M20)^('W1'!$B$20+4)*'W1'!$F$10)/'W1'!$F$5*'Pilot Project Budget'!$E20,0),(IF(AND('Pilot Project Budget'!$S$4="Multi",'Pilot Project Budget'!$R$4="PY"),ROUND('Pilot Project Budget'!$E20*((1+'Pilot Project Budget'!$M20)^3)/'W1'!$F$5*'W1'!$F$5,0),(IF(AND('Pilot Project Budget'!$S$4&lt;&gt;"Multi",'Pilot Project Budget'!$R$4="FY"),ROUND(((1+'Pilot Project Budget'!$S$4)^('W1'!$B$20+3)*'W1'!$F$9+(1+'Pilot Project Budget'!$S$4)^('W1'!$B$20+4)*'W1'!$F$10)/'W1'!$F$5*'Pilot Project Budget'!$E20,0),ROUND('Pilot Project Budget'!$E20*((1+'Pilot Project Budget'!$S$4)^3)/'W1'!$F$5*'W1'!$F$5,0)))))))))</f>
        <v/>
      </c>
      <c r="I340" s="300"/>
      <c r="J340" s="302" t="str">
        <f>IF('W1'!$G$5=0,"",IF($C$4=$D$4,(IF(AND('Pilot Project Budget'!$S$4="Multi",'Pilot Project Budget'!$R$4="FY"),ROUND(((1+'Pilot Project Budget'!$M20)^('W1'!$B$20+3)*'W1'!$G$9+(1+'Pilot Project Budget'!$M20)^('W1'!$B$20+4)*'W1'!$G$10)/'W1'!$G$5*'Pilot Project Budget'!$E20,0),(IF(AND('Pilot Project Budget'!$S$4="Multi",'Pilot Project Budget'!$R$4="PY"),ROUND('Pilot Project Budget'!$E20*((1+'Pilot Project Budget'!$M20)^4)/'W1'!$G$5*'W1'!$G$5,0),(IF(AND('Pilot Project Budget'!$S$4&lt;&gt;"Multi",'Pilot Project Budget'!$R$4="FY"),ROUND(((1+'Pilot Project Budget'!$S$4)^('W1'!$B$20+3)*'W1'!$G$9+(1+'Pilot Project Budget'!$S$4)^('W1'!$B$20+4)*'W1'!$G$10)/'W1'!$G$5*'Pilot Project Budget'!$E20,0),ROUND('Pilot Project Budget'!$E20*((1+'Pilot Project Budget'!$S$4)^4)/'W1'!$G$5*'W1'!$G$5,0))))))),(IF(AND('Pilot Project Budget'!$S$4="Multi",'Pilot Project Budget'!$R$4="FY"),ROUND(((1+'Pilot Project Budget'!$M20)^('W1'!$B$20+4)*'W1'!$G$9+(1+'Pilot Project Budget'!$M20)^('W1'!$B$20+5)*'W1'!$G$10)/'W1'!$G$5*'Pilot Project Budget'!$E20,0),(IF(AND('Pilot Project Budget'!$S$4="Multi",'Pilot Project Budget'!$R$4="PY"),ROUND('Pilot Project Budget'!$E20*((1+'Pilot Project Budget'!$M20)^4)/'W1'!$G$5*'W1'!$G$5,0),(IF(AND('Pilot Project Budget'!$S$4&lt;&gt;"Multi",'Pilot Project Budget'!$R$4="FY"),ROUND(((1+'Pilot Project Budget'!$S$4)^('W1'!$B$20+4)*'W1'!$G$9+(1+'Pilot Project Budget'!$S$4)^('W1'!$B$20+5)*'W1'!$G$10)/'W1'!$G$5*'Pilot Project Budget'!$E20,0),ROUND('Pilot Project Budget'!$E20*((1+'Pilot Project Budget'!$S$4)^4)/'W1'!$G$5*'W1'!$G$5,0)))))))))</f>
        <v/>
      </c>
      <c r="K340" s="300"/>
    </row>
    <row r="341" spans="1:11" x14ac:dyDescent="0.2">
      <c r="A341" s="82" t="e">
        <f>#REF!</f>
        <v>#REF!</v>
      </c>
      <c r="B341" s="302">
        <f>IF('W1'!$C$5=0,"",IF(AND('Pilot Project Budget'!$S$4="Multi",'Pilot Project Budget'!$R$4="FY"),ROUND(((1+'Pilot Project Budget'!$M21)^'W1'!$B$20*'W1'!$C$9+(1+'Pilot Project Budget'!$M21)^('W1'!$B$20+1)*'W1'!$C$10)/('W1'!$C$5)*'Pilot Project Budget'!$E21,0),(IF(AND('Pilot Project Budget'!$S$4="Multi",'Pilot Project Budget'!$R$4="PY"),ROUND('Pilot Project Budget'!$E21/('W1'!$C$5)*'W1'!$C$5,0),(IF(AND('Pilot Project Budget'!$S$4&lt;&gt;"Multi",'Pilot Project Budget'!$R$4="FY"),ROUND(((1+'Pilot Project Budget'!$S$4)^'W1'!$B$20*'W1'!$C$9+(1+'Pilot Project Budget'!$S$4)^('W1'!$B$20+1)*'W1'!$C$10)/'W1'!$C$5*'Pilot Project Budget'!$E21,0),ROUND('Pilot Project Budget'!$E21/'W1'!$C$5*'W1'!$C$5,0)))))))</f>
        <v>0</v>
      </c>
      <c r="C341" s="300"/>
      <c r="D341" s="302">
        <f>IF('W1'!$D$5=0,"",IF($C$4=$D$4,(IF(AND('Pilot Project Budget'!$S$4="Multi",'Pilot Project Budget'!$R$4="FY"),ROUND(((1+'Pilot Project Budget'!$M21)^('W1'!$B$20)*'W1'!$D$9+(1+'Pilot Project Budget'!$M21)^('W1'!$B$20+1)*'W1'!$D$10)/'W1'!$D$5*'Pilot Project Budget'!$E21,0),(IF(AND('Pilot Project Budget'!$S$4="Multi",'Pilot Project Budget'!$R$4="PY"),ROUND('Pilot Project Budget'!$E21*(1+'Pilot Project Budget'!$M21)/'W1'!$D$5*'W1'!$D$5,0),(IF(AND('Pilot Project Budget'!$S$4&lt;&gt;"Multi",'Pilot Project Budget'!$R$4="FY"),ROUND(((1+'Pilot Project Budget'!$S$4)^('W1'!$B$20)*'W1'!$D$9+(1+'Pilot Project Budget'!$S$4)^('W1'!$B$20+1)*'W1'!$D$10)/'W1'!$D$5*'Pilot Project Budget'!$E21,0),ROUND('Pilot Project Budget'!$E21*(1+'Pilot Project Budget'!$S$4)/'W1'!$D$5*'W1'!$D$5,0))))))),(IF(AND('Pilot Project Budget'!$S$4="Multi",'Pilot Project Budget'!$R$4="FY"),ROUND(((1+'Pilot Project Budget'!$M21)^('W1'!$B$20+1)*'W1'!$D$9+(1+'Pilot Project Budget'!$M21)^('W1'!$B$20+2)*'W1'!$D$10)/'W1'!$D$5*'Pilot Project Budget'!$E21,0),(IF(AND('Pilot Project Budget'!$S$4="Multi",'Pilot Project Budget'!$R$4="PY"),ROUND('Pilot Project Budget'!$E21*(1+'Pilot Project Budget'!$M21)/'W1'!$D$5*'W1'!$D$5,0),(IF(AND('Pilot Project Budget'!$S$4&lt;&gt;"Multi",'Pilot Project Budget'!$R$4="FY"),ROUND(((1+'Pilot Project Budget'!$S$4)^('W1'!$B$20+1)*'W1'!$D$9+(1+'Pilot Project Budget'!$S$4)^('W1'!$B$20+2)*'W1'!$D$10)/'W1'!$D$5*'Pilot Project Budget'!$E21,0),ROUND('Pilot Project Budget'!$E21*(1+'Pilot Project Budget'!$S$4)/'W1'!$D$5*'W1'!$D$5,0)))))))))</f>
        <v>0</v>
      </c>
      <c r="E341" s="300"/>
      <c r="F341" s="302" t="str">
        <f>IF('W1'!$E$5=0,"",IF($C$4=$D$4,(IF(AND('Pilot Project Budget'!$S$4="Multi",'Pilot Project Budget'!$R$4="FY"),ROUND(((1+'Pilot Project Budget'!$M21)^('W1'!$B$20+1)*'W1'!$E$9+(1+'Pilot Project Budget'!$M21)^('W1'!$B$20+3)*'W1'!$E$10)/'W1'!$E$5*'Pilot Project Budget'!$E21,0),(IF(AND('Pilot Project Budget'!$S$4="Multi",'Pilot Project Budget'!$R$4="PY"),ROUND('Pilot Project Budget'!$E21*((1+'Pilot Project Budget'!$M21)^2)/'W1'!$E$5*'W1'!$E$5,0),(IF(AND('Pilot Project Budget'!$S$4&lt;&gt;"Multi",'Pilot Project Budget'!$R$4="FY"),ROUND(((1+'Pilot Project Budget'!$S$4)^('W1'!$B$20+1)*'W1'!$E$9+(1+'Pilot Project Budget'!$S$4)^('W1'!$B$20+2)*'W1'!$E$10)/'W1'!$E$5*'Pilot Project Budget'!$E21,0),ROUND('Pilot Project Budget'!$E21*((1+'Pilot Project Budget'!$S$4)^2)/'W1'!$E$5*'W1'!$E$5,0))))))),(IF(AND('Pilot Project Budget'!$S$4="Multi",'Pilot Project Budget'!$R$4="FY"),ROUND(((1+'Pilot Project Budget'!$M21)^('W1'!$B$20+2)*'W1'!$E$9+(1+'Pilot Project Budget'!$M21)^('W1'!$B$20+3)*'W1'!$E$10)/'W1'!$E$5*'Pilot Project Budget'!$E21,0),(IF(AND('Pilot Project Budget'!$S$4="Multi",'Pilot Project Budget'!$R$4="PY"),ROUND('Pilot Project Budget'!$E21*((1+'Pilot Project Budget'!$M21)^2)/'W1'!$E$5*'W1'!$E$5,0),(IF(AND('Pilot Project Budget'!$S$4&lt;&gt;"Multi",'Pilot Project Budget'!$R$4="FY"),ROUND(((1+'Pilot Project Budget'!$S$4)^('W1'!$B$20+2)*'W1'!$E$9+(1+'Pilot Project Budget'!$S$4)^('W1'!$B$20+3)*'W1'!$E$10)/'W1'!$E$5*'Pilot Project Budget'!$E21,0),ROUND('Pilot Project Budget'!$E21*((1+'Pilot Project Budget'!$S$4)^2)/'W1'!$E$5*'W1'!$E$5,0)))))))))</f>
        <v/>
      </c>
      <c r="G341" s="300"/>
      <c r="H341" s="302" t="str">
        <f>IF('W1'!$F$5=0,"",IF($C$4=$D$4,(IF(AND('Pilot Project Budget'!$S$4="Multi",'Pilot Project Budget'!$R$4="FY"),ROUND(((1+'Pilot Project Budget'!$M21)^('W1'!$B$20+2)*'W1'!$F$9+(1+'Pilot Project Budget'!$M21)^('W1'!$B$20+3)*'W1'!$F$10)/'W1'!$F$5*'Pilot Project Budget'!$E21,0),(IF(AND('Pilot Project Budget'!$S$4="Multi",'Pilot Project Budget'!$R$4="PY"),ROUND('Pilot Project Budget'!$E21*((1+'Pilot Project Budget'!$M21)^3)/'W1'!$F$5*'W1'!$F$5,0),(IF(AND('Pilot Project Budget'!$S$4&lt;&gt;"Multi",'Pilot Project Budget'!$R$4="FY"),ROUND(((1+'Pilot Project Budget'!$S$4)^('W1'!$B$20+2)*'W1'!$F$9+(1+'Pilot Project Budget'!$S$4)^('W1'!$B$20+3)*'W1'!$F$10)/'W1'!$F$5*'Pilot Project Budget'!$E21,0),ROUND('Pilot Project Budget'!$E21*((1+'Pilot Project Budget'!$S$4)^3)/'W1'!$F$5*'W1'!$F$5,0))))))),(IF(AND('Pilot Project Budget'!$S$4="Multi",'Pilot Project Budget'!$R$4="FY"),ROUND(((1+'Pilot Project Budget'!$M21)^('W1'!$B$20+3)*'W1'!$F$9+(1+'Pilot Project Budget'!$M21)^('W1'!$B$20+4)*'W1'!$F$10)/'W1'!$F$5*'Pilot Project Budget'!$E21,0),(IF(AND('Pilot Project Budget'!$S$4="Multi",'Pilot Project Budget'!$R$4="PY"),ROUND('Pilot Project Budget'!$E21*((1+'Pilot Project Budget'!$M21)^3)/'W1'!$F$5*'W1'!$F$5,0),(IF(AND('Pilot Project Budget'!$S$4&lt;&gt;"Multi",'Pilot Project Budget'!$R$4="FY"),ROUND(((1+'Pilot Project Budget'!$S$4)^('W1'!$B$20+3)*'W1'!$F$9+(1+'Pilot Project Budget'!$S$4)^('W1'!$B$20+4)*'W1'!$F$10)/'W1'!$F$5*'Pilot Project Budget'!$E21,0),ROUND('Pilot Project Budget'!$E21*((1+'Pilot Project Budget'!$S$4)^3)/'W1'!$F$5*'W1'!$F$5,0)))))))))</f>
        <v/>
      </c>
      <c r="I341" s="300"/>
      <c r="J341" s="302" t="str">
        <f>IF('W1'!$G$5=0,"",IF($C$4=$D$4,(IF(AND('Pilot Project Budget'!$S$4="Multi",'Pilot Project Budget'!$R$4="FY"),ROUND(((1+'Pilot Project Budget'!$M21)^('W1'!$B$20+3)*'W1'!$G$9+(1+'Pilot Project Budget'!$M21)^('W1'!$B$20+4)*'W1'!$G$10)/'W1'!$G$5*'Pilot Project Budget'!$E21,0),(IF(AND('Pilot Project Budget'!$S$4="Multi",'Pilot Project Budget'!$R$4="PY"),ROUND('Pilot Project Budget'!$E21*((1+'Pilot Project Budget'!$M21)^4)/'W1'!$G$5*'W1'!$G$5,0),(IF(AND('Pilot Project Budget'!$S$4&lt;&gt;"Multi",'Pilot Project Budget'!$R$4="FY"),ROUND(((1+'Pilot Project Budget'!$S$4)^('W1'!$B$20+3)*'W1'!$G$9+(1+'Pilot Project Budget'!$S$4)^('W1'!$B$20+4)*'W1'!$G$10)/'W1'!$G$5*'Pilot Project Budget'!$E21,0),ROUND('Pilot Project Budget'!$E21*((1+'Pilot Project Budget'!$S$4)^4)/'W1'!$G$5*'W1'!$G$5,0))))))),(IF(AND('Pilot Project Budget'!$S$4="Multi",'Pilot Project Budget'!$R$4="FY"),ROUND(((1+'Pilot Project Budget'!$M21)^('W1'!$B$20+4)*'W1'!$G$9+(1+'Pilot Project Budget'!$M21)^('W1'!$B$20+5)*'W1'!$G$10)/'W1'!$G$5*'Pilot Project Budget'!$E21,0),(IF(AND('Pilot Project Budget'!$S$4="Multi",'Pilot Project Budget'!$R$4="PY"),ROUND('Pilot Project Budget'!$E21*((1+'Pilot Project Budget'!$M21)^4)/'W1'!$G$5*'W1'!$G$5,0),(IF(AND('Pilot Project Budget'!$S$4&lt;&gt;"Multi",'Pilot Project Budget'!$R$4="FY"),ROUND(((1+'Pilot Project Budget'!$S$4)^('W1'!$B$20+4)*'W1'!$G$9+(1+'Pilot Project Budget'!$S$4)^('W1'!$B$20+5)*'W1'!$G$10)/'W1'!$G$5*'Pilot Project Budget'!$E21,0),ROUND('Pilot Project Budget'!$E21*((1+'Pilot Project Budget'!$S$4)^4)/'W1'!$G$5*'W1'!$G$5,0)))))))))</f>
        <v/>
      </c>
      <c r="K341" s="300"/>
    </row>
    <row r="342" spans="1:11" x14ac:dyDescent="0.2">
      <c r="A342" s="82" t="e">
        <f>#REF!</f>
        <v>#REF!</v>
      </c>
      <c r="B342" s="302">
        <f>IF('W1'!$C$5=0,"",IF(AND('Pilot Project Budget'!$S$4="Multi",'Pilot Project Budget'!$R$4="FY"),ROUND(((1+'Pilot Project Budget'!$M22)^'W1'!$B$20*'W1'!$C$9+(1+'Pilot Project Budget'!$M22)^('W1'!$B$20+1)*'W1'!$C$10)/('W1'!$C$5)*'Pilot Project Budget'!$E22,0),(IF(AND('Pilot Project Budget'!$S$4="Multi",'Pilot Project Budget'!$R$4="PY"),ROUND('Pilot Project Budget'!$E22/('W1'!$C$5)*'W1'!$C$5,0),(IF(AND('Pilot Project Budget'!$S$4&lt;&gt;"Multi",'Pilot Project Budget'!$R$4="FY"),ROUND(((1+'Pilot Project Budget'!$S$4)^'W1'!$B$20*'W1'!$C$9+(1+'Pilot Project Budget'!$S$4)^('W1'!$B$20+1)*'W1'!$C$10)/'W1'!$C$5*'Pilot Project Budget'!$E22,0),ROUND('Pilot Project Budget'!$E22/'W1'!$C$5*'W1'!$C$5,0)))))))</f>
        <v>0</v>
      </c>
      <c r="C342" s="300"/>
      <c r="D342" s="302">
        <f>IF('W1'!$D$5=0,"",IF($C$4=$D$4,(IF(AND('Pilot Project Budget'!$S$4="Multi",'Pilot Project Budget'!$R$4="FY"),ROUND(((1+'Pilot Project Budget'!$M22)^('W1'!$B$20)*'W1'!$D$9+(1+'Pilot Project Budget'!$M22)^('W1'!$B$20+1)*'W1'!$D$10)/'W1'!$D$5*'Pilot Project Budget'!$E22,0),(IF(AND('Pilot Project Budget'!$S$4="Multi",'Pilot Project Budget'!$R$4="PY"),ROUND('Pilot Project Budget'!$E22*(1+'Pilot Project Budget'!$M22)/'W1'!$D$5*'W1'!$D$5,0),(IF(AND('Pilot Project Budget'!$S$4&lt;&gt;"Multi",'Pilot Project Budget'!$R$4="FY"),ROUND(((1+'Pilot Project Budget'!$S$4)^('W1'!$B$20)*'W1'!$D$9+(1+'Pilot Project Budget'!$S$4)^('W1'!$B$20+1)*'W1'!$D$10)/'W1'!$D$5*'Pilot Project Budget'!$E22,0),ROUND('Pilot Project Budget'!$E22*(1+'Pilot Project Budget'!$S$4)/'W1'!$D$5*'W1'!$D$5,0))))))),(IF(AND('Pilot Project Budget'!$S$4="Multi",'Pilot Project Budget'!$R$4="FY"),ROUND(((1+'Pilot Project Budget'!$M22)^('W1'!$B$20+1)*'W1'!$D$9+(1+'Pilot Project Budget'!$M22)^('W1'!$B$20+2)*'W1'!$D$10)/'W1'!$D$5*'Pilot Project Budget'!$E22,0),(IF(AND('Pilot Project Budget'!$S$4="Multi",'Pilot Project Budget'!$R$4="PY"),ROUND('Pilot Project Budget'!$E22*(1+'Pilot Project Budget'!$M22)/'W1'!$D$5*'W1'!$D$5,0),(IF(AND('Pilot Project Budget'!$S$4&lt;&gt;"Multi",'Pilot Project Budget'!$R$4="FY"),ROUND(((1+'Pilot Project Budget'!$S$4)^('W1'!$B$20+1)*'W1'!$D$9+(1+'Pilot Project Budget'!$S$4)^('W1'!$B$20+2)*'W1'!$D$10)/'W1'!$D$5*'Pilot Project Budget'!$E22,0),ROUND('Pilot Project Budget'!$E22*(1+'Pilot Project Budget'!$S$4)/'W1'!$D$5*'W1'!$D$5,0)))))))))</f>
        <v>0</v>
      </c>
      <c r="E342" s="300"/>
      <c r="F342" s="302" t="str">
        <f>IF('W1'!$E$5=0,"",IF($C$4=$D$4,(IF(AND('Pilot Project Budget'!$S$4="Multi",'Pilot Project Budget'!$R$4="FY"),ROUND(((1+'Pilot Project Budget'!$M22)^('W1'!$B$20+1)*'W1'!$E$9+(1+'Pilot Project Budget'!$M22)^('W1'!$B$20+3)*'W1'!$E$10)/'W1'!$E$5*'Pilot Project Budget'!$E22,0),(IF(AND('Pilot Project Budget'!$S$4="Multi",'Pilot Project Budget'!$R$4="PY"),ROUND('Pilot Project Budget'!$E22*((1+'Pilot Project Budget'!$M22)^2)/'W1'!$E$5*'W1'!$E$5,0),(IF(AND('Pilot Project Budget'!$S$4&lt;&gt;"Multi",'Pilot Project Budget'!$R$4="FY"),ROUND(((1+'Pilot Project Budget'!$S$4)^('W1'!$B$20+1)*'W1'!$E$9+(1+'Pilot Project Budget'!$S$4)^('W1'!$B$20+2)*'W1'!$E$10)/'W1'!$E$5*'Pilot Project Budget'!$E22,0),ROUND('Pilot Project Budget'!$E22*((1+'Pilot Project Budget'!$S$4)^2)/'W1'!$E$5*'W1'!$E$5,0))))))),(IF(AND('Pilot Project Budget'!$S$4="Multi",'Pilot Project Budget'!$R$4="FY"),ROUND(((1+'Pilot Project Budget'!$M22)^('W1'!$B$20+2)*'W1'!$E$9+(1+'Pilot Project Budget'!$M22)^('W1'!$B$20+3)*'W1'!$E$10)/'W1'!$E$5*'Pilot Project Budget'!$E22,0),(IF(AND('Pilot Project Budget'!$S$4="Multi",'Pilot Project Budget'!$R$4="PY"),ROUND('Pilot Project Budget'!$E22*((1+'Pilot Project Budget'!$M22)^2)/'W1'!$E$5*'W1'!$E$5,0),(IF(AND('Pilot Project Budget'!$S$4&lt;&gt;"Multi",'Pilot Project Budget'!$R$4="FY"),ROUND(((1+'Pilot Project Budget'!$S$4)^('W1'!$B$20+2)*'W1'!$E$9+(1+'Pilot Project Budget'!$S$4)^('W1'!$B$20+3)*'W1'!$E$10)/'W1'!$E$5*'Pilot Project Budget'!$E22,0),ROUND('Pilot Project Budget'!$E22*((1+'Pilot Project Budget'!$S$4)^2)/'W1'!$E$5*'W1'!$E$5,0)))))))))</f>
        <v/>
      </c>
      <c r="G342" s="300"/>
      <c r="H342" s="302" t="str">
        <f>IF('W1'!$F$5=0,"",IF($C$4=$D$4,(IF(AND('Pilot Project Budget'!$S$4="Multi",'Pilot Project Budget'!$R$4="FY"),ROUND(((1+'Pilot Project Budget'!$M22)^('W1'!$B$20+2)*'W1'!$F$9+(1+'Pilot Project Budget'!$M22)^('W1'!$B$20+3)*'W1'!$F$10)/'W1'!$F$5*'Pilot Project Budget'!$E22,0),(IF(AND('Pilot Project Budget'!$S$4="Multi",'Pilot Project Budget'!$R$4="PY"),ROUND('Pilot Project Budget'!$E22*((1+'Pilot Project Budget'!$M22)^3)/'W1'!$F$5*'W1'!$F$5,0),(IF(AND('Pilot Project Budget'!$S$4&lt;&gt;"Multi",'Pilot Project Budget'!$R$4="FY"),ROUND(((1+'Pilot Project Budget'!$S$4)^('W1'!$B$20+2)*'W1'!$F$9+(1+'Pilot Project Budget'!$S$4)^('W1'!$B$20+3)*'W1'!$F$10)/'W1'!$F$5*'Pilot Project Budget'!$E22,0),ROUND('Pilot Project Budget'!$E22*((1+'Pilot Project Budget'!$S$4)^3)/'W1'!$F$5*'W1'!$F$5,0))))))),(IF(AND('Pilot Project Budget'!$S$4="Multi",'Pilot Project Budget'!$R$4="FY"),ROUND(((1+'Pilot Project Budget'!$M22)^('W1'!$B$20+3)*'W1'!$F$9+(1+'Pilot Project Budget'!$M22)^('W1'!$B$20+4)*'W1'!$F$10)/'W1'!$F$5*'Pilot Project Budget'!$E22,0),(IF(AND('Pilot Project Budget'!$S$4="Multi",'Pilot Project Budget'!$R$4="PY"),ROUND('Pilot Project Budget'!$E22*((1+'Pilot Project Budget'!$M22)^3)/'W1'!$F$5*'W1'!$F$5,0),(IF(AND('Pilot Project Budget'!$S$4&lt;&gt;"Multi",'Pilot Project Budget'!$R$4="FY"),ROUND(((1+'Pilot Project Budget'!$S$4)^('W1'!$B$20+3)*'W1'!$F$9+(1+'Pilot Project Budget'!$S$4)^('W1'!$B$20+4)*'W1'!$F$10)/'W1'!$F$5*'Pilot Project Budget'!$E22,0),ROUND('Pilot Project Budget'!$E22*((1+'Pilot Project Budget'!$S$4)^3)/'W1'!$F$5*'W1'!$F$5,0)))))))))</f>
        <v/>
      </c>
      <c r="I342" s="300"/>
      <c r="J342" s="302" t="str">
        <f>IF('W1'!$G$5=0,"",IF($C$4=$D$4,(IF(AND('Pilot Project Budget'!$S$4="Multi",'Pilot Project Budget'!$R$4="FY"),ROUND(((1+'Pilot Project Budget'!$M22)^('W1'!$B$20+3)*'W1'!$G$9+(1+'Pilot Project Budget'!$M22)^('W1'!$B$20+4)*'W1'!$G$10)/'W1'!$G$5*'Pilot Project Budget'!$E22,0),(IF(AND('Pilot Project Budget'!$S$4="Multi",'Pilot Project Budget'!$R$4="PY"),ROUND('Pilot Project Budget'!$E22*((1+'Pilot Project Budget'!$M22)^4)/'W1'!$G$5*'W1'!$G$5,0),(IF(AND('Pilot Project Budget'!$S$4&lt;&gt;"Multi",'Pilot Project Budget'!$R$4="FY"),ROUND(((1+'Pilot Project Budget'!$S$4)^('W1'!$B$20+3)*'W1'!$G$9+(1+'Pilot Project Budget'!$S$4)^('W1'!$B$20+4)*'W1'!$G$10)/'W1'!$G$5*'Pilot Project Budget'!$E22,0),ROUND('Pilot Project Budget'!$E22*((1+'Pilot Project Budget'!$S$4)^4)/'W1'!$G$5*'W1'!$G$5,0))))))),(IF(AND('Pilot Project Budget'!$S$4="Multi",'Pilot Project Budget'!$R$4="FY"),ROUND(((1+'Pilot Project Budget'!$M22)^('W1'!$B$20+4)*'W1'!$G$9+(1+'Pilot Project Budget'!$M22)^('W1'!$B$20+5)*'W1'!$G$10)/'W1'!$G$5*'Pilot Project Budget'!$E22,0),(IF(AND('Pilot Project Budget'!$S$4="Multi",'Pilot Project Budget'!$R$4="PY"),ROUND('Pilot Project Budget'!$E22*((1+'Pilot Project Budget'!$M22)^4)/'W1'!$G$5*'W1'!$G$5,0),(IF(AND('Pilot Project Budget'!$S$4&lt;&gt;"Multi",'Pilot Project Budget'!$R$4="FY"),ROUND(((1+'Pilot Project Budget'!$S$4)^('W1'!$B$20+4)*'W1'!$G$9+(1+'Pilot Project Budget'!$S$4)^('W1'!$B$20+5)*'W1'!$G$10)/'W1'!$G$5*'Pilot Project Budget'!$E22,0),ROUND('Pilot Project Budget'!$E22*((1+'Pilot Project Budget'!$S$4)^4)/'W1'!$G$5*'W1'!$G$5,0)))))))))</f>
        <v/>
      </c>
      <c r="K342" s="300"/>
    </row>
    <row r="343" spans="1:11" x14ac:dyDescent="0.2">
      <c r="A343" s="82" t="e">
        <f>#REF!</f>
        <v>#REF!</v>
      </c>
      <c r="B343" s="302">
        <f>IF('W1'!$C$5=0,"",IF(AND('Pilot Project Budget'!$S$4="Multi",'Pilot Project Budget'!$R$4="FY"),ROUND(((1+'Pilot Project Budget'!$M23)^'W1'!$B$20*'W1'!$C$9+(1+'Pilot Project Budget'!$M23)^('W1'!$B$20+1)*'W1'!$C$10)/('W1'!$C$5)*'Pilot Project Budget'!$E23,0),(IF(AND('Pilot Project Budget'!$S$4="Multi",'Pilot Project Budget'!$R$4="PY"),ROUND('Pilot Project Budget'!$E23/('W1'!$C$5)*'W1'!$C$5,0),(IF(AND('Pilot Project Budget'!$S$4&lt;&gt;"Multi",'Pilot Project Budget'!$R$4="FY"),ROUND(((1+'Pilot Project Budget'!$S$4)^'W1'!$B$20*'W1'!$C$9+(1+'Pilot Project Budget'!$S$4)^('W1'!$B$20+1)*'W1'!$C$10)/'W1'!$C$5*'Pilot Project Budget'!$E23,0),ROUND('Pilot Project Budget'!$E23/'W1'!$C$5*'W1'!$C$5,0)))))))</f>
        <v>0</v>
      </c>
      <c r="C343" s="300"/>
      <c r="D343" s="302">
        <f>IF('W1'!$D$5=0,"",IF($C$4=$D$4,(IF(AND('Pilot Project Budget'!$S$4="Multi",'Pilot Project Budget'!$R$4="FY"),ROUND(((1+'Pilot Project Budget'!$M23)^('W1'!$B$20)*'W1'!$D$9+(1+'Pilot Project Budget'!$M23)^('W1'!$B$20+1)*'W1'!$D$10)/'W1'!$D$5*'Pilot Project Budget'!$E23,0),(IF(AND('Pilot Project Budget'!$S$4="Multi",'Pilot Project Budget'!$R$4="PY"),ROUND('Pilot Project Budget'!$E23*(1+'Pilot Project Budget'!$M23)/'W1'!$D$5*'W1'!$D$5,0),(IF(AND('Pilot Project Budget'!$S$4&lt;&gt;"Multi",'Pilot Project Budget'!$R$4="FY"),ROUND(((1+'Pilot Project Budget'!$S$4)^('W1'!$B$20)*'W1'!$D$9+(1+'Pilot Project Budget'!$S$4)^('W1'!$B$20+1)*'W1'!$D$10)/'W1'!$D$5*'Pilot Project Budget'!$E23,0),ROUND('Pilot Project Budget'!$E23*(1+'Pilot Project Budget'!$S$4)/'W1'!$D$5*'W1'!$D$5,0))))))),(IF(AND('Pilot Project Budget'!$S$4="Multi",'Pilot Project Budget'!$R$4="FY"),ROUND(((1+'Pilot Project Budget'!$M23)^('W1'!$B$20+1)*'W1'!$D$9+(1+'Pilot Project Budget'!$M23)^('W1'!$B$20+2)*'W1'!$D$10)/'W1'!$D$5*'Pilot Project Budget'!$E23,0),(IF(AND('Pilot Project Budget'!$S$4="Multi",'Pilot Project Budget'!$R$4="PY"),ROUND('Pilot Project Budget'!$E23*(1+'Pilot Project Budget'!$M23)/'W1'!$D$5*'W1'!$D$5,0),(IF(AND('Pilot Project Budget'!$S$4&lt;&gt;"Multi",'Pilot Project Budget'!$R$4="FY"),ROUND(((1+'Pilot Project Budget'!$S$4)^('W1'!$B$20+1)*'W1'!$D$9+(1+'Pilot Project Budget'!$S$4)^('W1'!$B$20+2)*'W1'!$D$10)/'W1'!$D$5*'Pilot Project Budget'!$E23,0),ROUND('Pilot Project Budget'!$E23*(1+'Pilot Project Budget'!$S$4)/'W1'!$D$5*'W1'!$D$5,0)))))))))</f>
        <v>0</v>
      </c>
      <c r="E343" s="300"/>
      <c r="F343" s="302" t="str">
        <f>IF('W1'!$E$5=0,"",IF($C$4=$D$4,(IF(AND('Pilot Project Budget'!$S$4="Multi",'Pilot Project Budget'!$R$4="FY"),ROUND(((1+'Pilot Project Budget'!$M23)^('W1'!$B$20+1)*'W1'!$E$9+(1+'Pilot Project Budget'!$M23)^('W1'!$B$20+3)*'W1'!$E$10)/'W1'!$E$5*'Pilot Project Budget'!$E23,0),(IF(AND('Pilot Project Budget'!$S$4="Multi",'Pilot Project Budget'!$R$4="PY"),ROUND('Pilot Project Budget'!$E23*((1+'Pilot Project Budget'!$M23)^2)/'W1'!$E$5*'W1'!$E$5,0),(IF(AND('Pilot Project Budget'!$S$4&lt;&gt;"Multi",'Pilot Project Budget'!$R$4="FY"),ROUND(((1+'Pilot Project Budget'!$S$4)^('W1'!$B$20+1)*'W1'!$E$9+(1+'Pilot Project Budget'!$S$4)^('W1'!$B$20+2)*'W1'!$E$10)/'W1'!$E$5*'Pilot Project Budget'!$E23,0),ROUND('Pilot Project Budget'!$E23*((1+'Pilot Project Budget'!$S$4)^2)/'W1'!$E$5*'W1'!$E$5,0))))))),(IF(AND('Pilot Project Budget'!$S$4="Multi",'Pilot Project Budget'!$R$4="FY"),ROUND(((1+'Pilot Project Budget'!$M23)^('W1'!$B$20+2)*'W1'!$E$9+(1+'Pilot Project Budget'!$M23)^('W1'!$B$20+3)*'W1'!$E$10)/'W1'!$E$5*'Pilot Project Budget'!$E23,0),(IF(AND('Pilot Project Budget'!$S$4="Multi",'Pilot Project Budget'!$R$4="PY"),ROUND('Pilot Project Budget'!$E23*((1+'Pilot Project Budget'!$M23)^2)/'W1'!$E$5*'W1'!$E$5,0),(IF(AND('Pilot Project Budget'!$S$4&lt;&gt;"Multi",'Pilot Project Budget'!$R$4="FY"),ROUND(((1+'Pilot Project Budget'!$S$4)^('W1'!$B$20+2)*'W1'!$E$9+(1+'Pilot Project Budget'!$S$4)^('W1'!$B$20+3)*'W1'!$E$10)/'W1'!$E$5*'Pilot Project Budget'!$E23,0),ROUND('Pilot Project Budget'!$E23*((1+'Pilot Project Budget'!$S$4)^2)/'W1'!$E$5*'W1'!$E$5,0)))))))))</f>
        <v/>
      </c>
      <c r="G343" s="300"/>
      <c r="H343" s="302" t="str">
        <f>IF('W1'!$F$5=0,"",IF($C$4=$D$4,(IF(AND('Pilot Project Budget'!$S$4="Multi",'Pilot Project Budget'!$R$4="FY"),ROUND(((1+'Pilot Project Budget'!$M23)^('W1'!$B$20+2)*'W1'!$F$9+(1+'Pilot Project Budget'!$M23)^('W1'!$B$20+3)*'W1'!$F$10)/'W1'!$F$5*'Pilot Project Budget'!$E23,0),(IF(AND('Pilot Project Budget'!$S$4="Multi",'Pilot Project Budget'!$R$4="PY"),ROUND('Pilot Project Budget'!$E23*((1+'Pilot Project Budget'!$M23)^3)/'W1'!$F$5*'W1'!$F$5,0),(IF(AND('Pilot Project Budget'!$S$4&lt;&gt;"Multi",'Pilot Project Budget'!$R$4="FY"),ROUND(((1+'Pilot Project Budget'!$S$4)^('W1'!$B$20+2)*'W1'!$F$9+(1+'Pilot Project Budget'!$S$4)^('W1'!$B$20+3)*'W1'!$F$10)/'W1'!$F$5*'Pilot Project Budget'!$E23,0),ROUND('Pilot Project Budget'!$E23*((1+'Pilot Project Budget'!$S$4)^3)/'W1'!$F$5*'W1'!$F$5,0))))))),(IF(AND('Pilot Project Budget'!$S$4="Multi",'Pilot Project Budget'!$R$4="FY"),ROUND(((1+'Pilot Project Budget'!$M23)^('W1'!$B$20+3)*'W1'!$F$9+(1+'Pilot Project Budget'!$M23)^('W1'!$B$20+4)*'W1'!$F$10)/'W1'!$F$5*'Pilot Project Budget'!$E23,0),(IF(AND('Pilot Project Budget'!$S$4="Multi",'Pilot Project Budget'!$R$4="PY"),ROUND('Pilot Project Budget'!$E23*((1+'Pilot Project Budget'!$M23)^3)/'W1'!$F$5*'W1'!$F$5,0),(IF(AND('Pilot Project Budget'!$S$4&lt;&gt;"Multi",'Pilot Project Budget'!$R$4="FY"),ROUND(((1+'Pilot Project Budget'!$S$4)^('W1'!$B$20+3)*'W1'!$F$9+(1+'Pilot Project Budget'!$S$4)^('W1'!$B$20+4)*'W1'!$F$10)/'W1'!$F$5*'Pilot Project Budget'!$E23,0),ROUND('Pilot Project Budget'!$E23*((1+'Pilot Project Budget'!$S$4)^3)/'W1'!$F$5*'W1'!$F$5,0)))))))))</f>
        <v/>
      </c>
      <c r="I343" s="300"/>
      <c r="J343" s="302" t="str">
        <f>IF('W1'!$G$5=0,"",IF($C$4=$D$4,(IF(AND('Pilot Project Budget'!$S$4="Multi",'Pilot Project Budget'!$R$4="FY"),ROUND(((1+'Pilot Project Budget'!$M23)^('W1'!$B$20+3)*'W1'!$G$9+(1+'Pilot Project Budget'!$M23)^('W1'!$B$20+4)*'W1'!$G$10)/'W1'!$G$5*'Pilot Project Budget'!$E23,0),(IF(AND('Pilot Project Budget'!$S$4="Multi",'Pilot Project Budget'!$R$4="PY"),ROUND('Pilot Project Budget'!$E23*((1+'Pilot Project Budget'!$M23)^4)/'W1'!$G$5*'W1'!$G$5,0),(IF(AND('Pilot Project Budget'!$S$4&lt;&gt;"Multi",'Pilot Project Budget'!$R$4="FY"),ROUND(((1+'Pilot Project Budget'!$S$4)^('W1'!$B$20+3)*'W1'!$G$9+(1+'Pilot Project Budget'!$S$4)^('W1'!$B$20+4)*'W1'!$G$10)/'W1'!$G$5*'Pilot Project Budget'!$E23,0),ROUND('Pilot Project Budget'!$E23*((1+'Pilot Project Budget'!$S$4)^4)/'W1'!$G$5*'W1'!$G$5,0))))))),(IF(AND('Pilot Project Budget'!$S$4="Multi",'Pilot Project Budget'!$R$4="FY"),ROUND(((1+'Pilot Project Budget'!$M23)^('W1'!$B$20+4)*'W1'!$G$9+(1+'Pilot Project Budget'!$M23)^('W1'!$B$20+5)*'W1'!$G$10)/'W1'!$G$5*'Pilot Project Budget'!$E23,0),(IF(AND('Pilot Project Budget'!$S$4="Multi",'Pilot Project Budget'!$R$4="PY"),ROUND('Pilot Project Budget'!$E23*((1+'Pilot Project Budget'!$M23)^4)/'W1'!$G$5*'W1'!$G$5,0),(IF(AND('Pilot Project Budget'!$S$4&lt;&gt;"Multi",'Pilot Project Budget'!$R$4="FY"),ROUND(((1+'Pilot Project Budget'!$S$4)^('W1'!$B$20+4)*'W1'!$G$9+(1+'Pilot Project Budget'!$S$4)^('W1'!$B$20+5)*'W1'!$G$10)/'W1'!$G$5*'Pilot Project Budget'!$E23,0),ROUND('Pilot Project Budget'!$E23*((1+'Pilot Project Budget'!$S$4)^4)/'W1'!$G$5*'W1'!$G$5,0)))))))))</f>
        <v/>
      </c>
      <c r="K343" s="300"/>
    </row>
    <row r="344" spans="1:11" x14ac:dyDescent="0.2">
      <c r="A344" s="82" t="e">
        <f>#REF!</f>
        <v>#REF!</v>
      </c>
      <c r="B344" s="302">
        <f>IF('W1'!$C$5=0,"",IF(AND('Pilot Project Budget'!$S$4="Multi",'Pilot Project Budget'!$R$4="FY"),ROUND(((1+'Pilot Project Budget'!$M24)^'W1'!$B$20*'W1'!$C$9+(1+'Pilot Project Budget'!$M24)^('W1'!$B$20+1)*'W1'!$C$10)/('W1'!$C$5)*'Pilot Project Budget'!$E24,0),(IF(AND('Pilot Project Budget'!$S$4="Multi",'Pilot Project Budget'!$R$4="PY"),ROUND('Pilot Project Budget'!$E24/('W1'!$C$5)*'W1'!$C$5,0),(IF(AND('Pilot Project Budget'!$S$4&lt;&gt;"Multi",'Pilot Project Budget'!$R$4="FY"),ROUND(((1+'Pilot Project Budget'!$S$4)^'W1'!$B$20*'W1'!$C$9+(1+'Pilot Project Budget'!$S$4)^('W1'!$B$20+1)*'W1'!$C$10)/'W1'!$C$5*'Pilot Project Budget'!$E24,0),ROUND('Pilot Project Budget'!$E24/'W1'!$C$5*'W1'!$C$5,0)))))))</f>
        <v>0</v>
      </c>
      <c r="C344" s="300"/>
      <c r="D344" s="302">
        <f>IF('W1'!$D$5=0,"",IF($C$4=$D$4,(IF(AND('Pilot Project Budget'!$S$4="Multi",'Pilot Project Budget'!$R$4="FY"),ROUND(((1+'Pilot Project Budget'!$M24)^('W1'!$B$20)*'W1'!$D$9+(1+'Pilot Project Budget'!$M24)^('W1'!$B$20+1)*'W1'!$D$10)/'W1'!$D$5*'Pilot Project Budget'!$E24,0),(IF(AND('Pilot Project Budget'!$S$4="Multi",'Pilot Project Budget'!$R$4="PY"),ROUND('Pilot Project Budget'!$E24*(1+'Pilot Project Budget'!$M24)/'W1'!$D$5*'W1'!$D$5,0),(IF(AND('Pilot Project Budget'!$S$4&lt;&gt;"Multi",'Pilot Project Budget'!$R$4="FY"),ROUND(((1+'Pilot Project Budget'!$S$4)^('W1'!$B$20)*'W1'!$D$9+(1+'Pilot Project Budget'!$S$4)^('W1'!$B$20+1)*'W1'!$D$10)/'W1'!$D$5*'Pilot Project Budget'!$E24,0),ROUND('Pilot Project Budget'!$E24*(1+'Pilot Project Budget'!$S$4)/'W1'!$D$5*'W1'!$D$5,0))))))),(IF(AND('Pilot Project Budget'!$S$4="Multi",'Pilot Project Budget'!$R$4="FY"),ROUND(((1+'Pilot Project Budget'!$M24)^('W1'!$B$20+1)*'W1'!$D$9+(1+'Pilot Project Budget'!$M24)^('W1'!$B$20+2)*'W1'!$D$10)/'W1'!$D$5*'Pilot Project Budget'!$E24,0),(IF(AND('Pilot Project Budget'!$S$4="Multi",'Pilot Project Budget'!$R$4="PY"),ROUND('Pilot Project Budget'!$E24*(1+'Pilot Project Budget'!$M24)/'W1'!$D$5*'W1'!$D$5,0),(IF(AND('Pilot Project Budget'!$S$4&lt;&gt;"Multi",'Pilot Project Budget'!$R$4="FY"),ROUND(((1+'Pilot Project Budget'!$S$4)^('W1'!$B$20+1)*'W1'!$D$9+(1+'Pilot Project Budget'!$S$4)^('W1'!$B$20+2)*'W1'!$D$10)/'W1'!$D$5*'Pilot Project Budget'!$E24,0),ROUND('Pilot Project Budget'!$E24*(1+'Pilot Project Budget'!$S$4)/'W1'!$D$5*'W1'!$D$5,0)))))))))</f>
        <v>0</v>
      </c>
      <c r="E344" s="300"/>
      <c r="F344" s="302" t="str">
        <f>IF('W1'!$E$5=0,"",IF($C$4=$D$4,(IF(AND('Pilot Project Budget'!$S$4="Multi",'Pilot Project Budget'!$R$4="FY"),ROUND(((1+'Pilot Project Budget'!$M24)^('W1'!$B$20+1)*'W1'!$E$9+(1+'Pilot Project Budget'!$M24)^('W1'!$B$20+3)*'W1'!$E$10)/'W1'!$E$5*'Pilot Project Budget'!$E24,0),(IF(AND('Pilot Project Budget'!$S$4="Multi",'Pilot Project Budget'!$R$4="PY"),ROUND('Pilot Project Budget'!$E24*((1+'Pilot Project Budget'!$M24)^2)/'W1'!$E$5*'W1'!$E$5,0),(IF(AND('Pilot Project Budget'!$S$4&lt;&gt;"Multi",'Pilot Project Budget'!$R$4="FY"),ROUND(((1+'Pilot Project Budget'!$S$4)^('W1'!$B$20+1)*'W1'!$E$9+(1+'Pilot Project Budget'!$S$4)^('W1'!$B$20+2)*'W1'!$E$10)/'W1'!$E$5*'Pilot Project Budget'!$E24,0),ROUND('Pilot Project Budget'!$E24*((1+'Pilot Project Budget'!$S$4)^2)/'W1'!$E$5*'W1'!$E$5,0))))))),(IF(AND('Pilot Project Budget'!$S$4="Multi",'Pilot Project Budget'!$R$4="FY"),ROUND(((1+'Pilot Project Budget'!$M24)^('W1'!$B$20+2)*'W1'!$E$9+(1+'Pilot Project Budget'!$M24)^('W1'!$B$20+3)*'W1'!$E$10)/'W1'!$E$5*'Pilot Project Budget'!$E24,0),(IF(AND('Pilot Project Budget'!$S$4="Multi",'Pilot Project Budget'!$R$4="PY"),ROUND('Pilot Project Budget'!$E24*((1+'Pilot Project Budget'!$M24)^2)/'W1'!$E$5*'W1'!$E$5,0),(IF(AND('Pilot Project Budget'!$S$4&lt;&gt;"Multi",'Pilot Project Budget'!$R$4="FY"),ROUND(((1+'Pilot Project Budget'!$S$4)^('W1'!$B$20+2)*'W1'!$E$9+(1+'Pilot Project Budget'!$S$4)^('W1'!$B$20+3)*'W1'!$E$10)/'W1'!$E$5*'Pilot Project Budget'!$E24,0),ROUND('Pilot Project Budget'!$E24*((1+'Pilot Project Budget'!$S$4)^2)/'W1'!$E$5*'W1'!$E$5,0)))))))))</f>
        <v/>
      </c>
      <c r="G344" s="300"/>
      <c r="H344" s="302" t="str">
        <f>IF('W1'!$F$5=0,"",IF($C$4=$D$4,(IF(AND('Pilot Project Budget'!$S$4="Multi",'Pilot Project Budget'!$R$4="FY"),ROUND(((1+'Pilot Project Budget'!$M24)^('W1'!$B$20+2)*'W1'!$F$9+(1+'Pilot Project Budget'!$M24)^('W1'!$B$20+3)*'W1'!$F$10)/'W1'!$F$5*'Pilot Project Budget'!$E24,0),(IF(AND('Pilot Project Budget'!$S$4="Multi",'Pilot Project Budget'!$R$4="PY"),ROUND('Pilot Project Budget'!$E24*((1+'Pilot Project Budget'!$M24)^3)/'W1'!$F$5*'W1'!$F$5,0),(IF(AND('Pilot Project Budget'!$S$4&lt;&gt;"Multi",'Pilot Project Budget'!$R$4="FY"),ROUND(((1+'Pilot Project Budget'!$S$4)^('W1'!$B$20+2)*'W1'!$F$9+(1+'Pilot Project Budget'!$S$4)^('W1'!$B$20+3)*'W1'!$F$10)/'W1'!$F$5*'Pilot Project Budget'!$E24,0),ROUND('Pilot Project Budget'!$E24*((1+'Pilot Project Budget'!$S$4)^3)/'W1'!$F$5*'W1'!$F$5,0))))))),(IF(AND('Pilot Project Budget'!$S$4="Multi",'Pilot Project Budget'!$R$4="FY"),ROUND(((1+'Pilot Project Budget'!$M24)^('W1'!$B$20+3)*'W1'!$F$9+(1+'Pilot Project Budget'!$M24)^('W1'!$B$20+4)*'W1'!$F$10)/'W1'!$F$5*'Pilot Project Budget'!$E24,0),(IF(AND('Pilot Project Budget'!$S$4="Multi",'Pilot Project Budget'!$R$4="PY"),ROUND('Pilot Project Budget'!$E24*((1+'Pilot Project Budget'!$M24)^3)/'W1'!$F$5*'W1'!$F$5,0),(IF(AND('Pilot Project Budget'!$S$4&lt;&gt;"Multi",'Pilot Project Budget'!$R$4="FY"),ROUND(((1+'Pilot Project Budget'!$S$4)^('W1'!$B$20+3)*'W1'!$F$9+(1+'Pilot Project Budget'!$S$4)^('W1'!$B$20+4)*'W1'!$F$10)/'W1'!$F$5*'Pilot Project Budget'!$E24,0),ROUND('Pilot Project Budget'!$E24*((1+'Pilot Project Budget'!$S$4)^3)/'W1'!$F$5*'W1'!$F$5,0)))))))))</f>
        <v/>
      </c>
      <c r="I344" s="300"/>
      <c r="J344" s="302" t="str">
        <f>IF('W1'!$G$5=0,"",IF($C$4=$D$4,(IF(AND('Pilot Project Budget'!$S$4="Multi",'Pilot Project Budget'!$R$4="FY"),ROUND(((1+'Pilot Project Budget'!$M24)^('W1'!$B$20+3)*'W1'!$G$9+(1+'Pilot Project Budget'!$M24)^('W1'!$B$20+4)*'W1'!$G$10)/'W1'!$G$5*'Pilot Project Budget'!$E24,0),(IF(AND('Pilot Project Budget'!$S$4="Multi",'Pilot Project Budget'!$R$4="PY"),ROUND('Pilot Project Budget'!$E24*((1+'Pilot Project Budget'!$M24)^4)/'W1'!$G$5*'W1'!$G$5,0),(IF(AND('Pilot Project Budget'!$S$4&lt;&gt;"Multi",'Pilot Project Budget'!$R$4="FY"),ROUND(((1+'Pilot Project Budget'!$S$4)^('W1'!$B$20+3)*'W1'!$G$9+(1+'Pilot Project Budget'!$S$4)^('W1'!$B$20+4)*'W1'!$G$10)/'W1'!$G$5*'Pilot Project Budget'!$E24,0),ROUND('Pilot Project Budget'!$E24*((1+'Pilot Project Budget'!$S$4)^4)/'W1'!$G$5*'W1'!$G$5,0))))))),(IF(AND('Pilot Project Budget'!$S$4="Multi",'Pilot Project Budget'!$R$4="FY"),ROUND(((1+'Pilot Project Budget'!$M24)^('W1'!$B$20+4)*'W1'!$G$9+(1+'Pilot Project Budget'!$M24)^('W1'!$B$20+5)*'W1'!$G$10)/'W1'!$G$5*'Pilot Project Budget'!$E24,0),(IF(AND('Pilot Project Budget'!$S$4="Multi",'Pilot Project Budget'!$R$4="PY"),ROUND('Pilot Project Budget'!$E24*((1+'Pilot Project Budget'!$M24)^4)/'W1'!$G$5*'W1'!$G$5,0),(IF(AND('Pilot Project Budget'!$S$4&lt;&gt;"Multi",'Pilot Project Budget'!$R$4="FY"),ROUND(((1+'Pilot Project Budget'!$S$4)^('W1'!$B$20+4)*'W1'!$G$9+(1+'Pilot Project Budget'!$S$4)^('W1'!$B$20+5)*'W1'!$G$10)/'W1'!$G$5*'Pilot Project Budget'!$E24,0),ROUND('Pilot Project Budget'!$E24*((1+'Pilot Project Budget'!$S$4)^4)/'W1'!$G$5*'W1'!$G$5,0)))))))))</f>
        <v/>
      </c>
      <c r="K344" s="300"/>
    </row>
    <row r="345" spans="1:11" x14ac:dyDescent="0.2">
      <c r="A345" s="82" t="e">
        <f>#REF!</f>
        <v>#REF!</v>
      </c>
      <c r="B345" s="302">
        <f>IF('W1'!$C$5=0,"",IF(AND('Pilot Project Budget'!$S$4="Multi",'Pilot Project Budget'!$R$4="FY"),ROUND(((1+'Pilot Project Budget'!$M25)^'W1'!$B$20*'W1'!$C$9+(1+'Pilot Project Budget'!$M25)^('W1'!$B$20+1)*'W1'!$C$10)/('W1'!$C$5)*'Pilot Project Budget'!$E25,0),(IF(AND('Pilot Project Budget'!$S$4="Multi",'Pilot Project Budget'!$R$4="PY"),ROUND('Pilot Project Budget'!$E25/('W1'!$C$5)*'W1'!$C$5,0),(IF(AND('Pilot Project Budget'!$S$4&lt;&gt;"Multi",'Pilot Project Budget'!$R$4="FY"),ROUND(((1+'Pilot Project Budget'!$S$4)^'W1'!$B$20*'W1'!$C$9+(1+'Pilot Project Budget'!$S$4)^('W1'!$B$20+1)*'W1'!$C$10)/'W1'!$C$5*'Pilot Project Budget'!$E25,0),ROUND('Pilot Project Budget'!$E25/'W1'!$C$5*'W1'!$C$5,0)))))))</f>
        <v>0</v>
      </c>
      <c r="C345" s="300"/>
      <c r="D345" s="302">
        <f>IF('W1'!$D$5=0,"",IF($C$4=$D$4,(IF(AND('Pilot Project Budget'!$S$4="Multi",'Pilot Project Budget'!$R$4="FY"),ROUND(((1+'Pilot Project Budget'!$M25)^('W1'!$B$20)*'W1'!$D$9+(1+'Pilot Project Budget'!$M25)^('W1'!$B$20+1)*'W1'!$D$10)/'W1'!$D$5*'Pilot Project Budget'!$E25,0),(IF(AND('Pilot Project Budget'!$S$4="Multi",'Pilot Project Budget'!$R$4="PY"),ROUND('Pilot Project Budget'!$E25*(1+'Pilot Project Budget'!$M25)/'W1'!$D$5*'W1'!$D$5,0),(IF(AND('Pilot Project Budget'!$S$4&lt;&gt;"Multi",'Pilot Project Budget'!$R$4="FY"),ROUND(((1+'Pilot Project Budget'!$S$4)^('W1'!$B$20)*'W1'!$D$9+(1+'Pilot Project Budget'!$S$4)^('W1'!$B$20+1)*'W1'!$D$10)/'W1'!$D$5*'Pilot Project Budget'!$E25,0),ROUND('Pilot Project Budget'!$E25*(1+'Pilot Project Budget'!$S$4)/'W1'!$D$5*'W1'!$D$5,0))))))),(IF(AND('Pilot Project Budget'!$S$4="Multi",'Pilot Project Budget'!$R$4="FY"),ROUND(((1+'Pilot Project Budget'!$M25)^('W1'!$B$20+1)*'W1'!$D$9+(1+'Pilot Project Budget'!$M25)^('W1'!$B$20+2)*'W1'!$D$10)/'W1'!$D$5*'Pilot Project Budget'!$E25,0),(IF(AND('Pilot Project Budget'!$S$4="Multi",'Pilot Project Budget'!$R$4="PY"),ROUND('Pilot Project Budget'!$E25*(1+'Pilot Project Budget'!$M25)/'W1'!$D$5*'W1'!$D$5,0),(IF(AND('Pilot Project Budget'!$S$4&lt;&gt;"Multi",'Pilot Project Budget'!$R$4="FY"),ROUND(((1+'Pilot Project Budget'!$S$4)^('W1'!$B$20+1)*'W1'!$D$9+(1+'Pilot Project Budget'!$S$4)^('W1'!$B$20+2)*'W1'!$D$10)/'W1'!$D$5*'Pilot Project Budget'!$E25,0),ROUND('Pilot Project Budget'!$E25*(1+'Pilot Project Budget'!$S$4)/'W1'!$D$5*'W1'!$D$5,0)))))))))</f>
        <v>0</v>
      </c>
      <c r="E345" s="300"/>
      <c r="F345" s="302" t="str">
        <f>IF('W1'!$E$5=0,"",IF($C$4=$D$4,(IF(AND('Pilot Project Budget'!$S$4="Multi",'Pilot Project Budget'!$R$4="FY"),ROUND(((1+'Pilot Project Budget'!$M25)^('W1'!$B$20+1)*'W1'!$E$9+(1+'Pilot Project Budget'!$M25)^('W1'!$B$20+3)*'W1'!$E$10)/'W1'!$E$5*'Pilot Project Budget'!$E25,0),(IF(AND('Pilot Project Budget'!$S$4="Multi",'Pilot Project Budget'!$R$4="PY"),ROUND('Pilot Project Budget'!$E25*((1+'Pilot Project Budget'!$M25)^2)/'W1'!$E$5*'W1'!$E$5,0),(IF(AND('Pilot Project Budget'!$S$4&lt;&gt;"Multi",'Pilot Project Budget'!$R$4="FY"),ROUND(((1+'Pilot Project Budget'!$S$4)^('W1'!$B$20+1)*'W1'!$E$9+(1+'Pilot Project Budget'!$S$4)^('W1'!$B$20+2)*'W1'!$E$10)/'W1'!$E$5*'Pilot Project Budget'!$E25,0),ROUND('Pilot Project Budget'!$E25*((1+'Pilot Project Budget'!$S$4)^2)/'W1'!$E$5*'W1'!$E$5,0))))))),(IF(AND('Pilot Project Budget'!$S$4="Multi",'Pilot Project Budget'!$R$4="FY"),ROUND(((1+'Pilot Project Budget'!$M25)^('W1'!$B$20+2)*'W1'!$E$9+(1+'Pilot Project Budget'!$M25)^('W1'!$B$20+3)*'W1'!$E$10)/'W1'!$E$5*'Pilot Project Budget'!$E25,0),(IF(AND('Pilot Project Budget'!$S$4="Multi",'Pilot Project Budget'!$R$4="PY"),ROUND('Pilot Project Budget'!$E25*((1+'Pilot Project Budget'!$M25)^2)/'W1'!$E$5*'W1'!$E$5,0),(IF(AND('Pilot Project Budget'!$S$4&lt;&gt;"Multi",'Pilot Project Budget'!$R$4="FY"),ROUND(((1+'Pilot Project Budget'!$S$4)^('W1'!$B$20+2)*'W1'!$E$9+(1+'Pilot Project Budget'!$S$4)^('W1'!$B$20+3)*'W1'!$E$10)/'W1'!$E$5*'Pilot Project Budget'!$E25,0),ROUND('Pilot Project Budget'!$E25*((1+'Pilot Project Budget'!$S$4)^2)/'W1'!$E$5*'W1'!$E$5,0)))))))))</f>
        <v/>
      </c>
      <c r="G345" s="300"/>
      <c r="H345" s="302" t="str">
        <f>IF('W1'!$F$5=0,"",IF($C$4=$D$4,(IF(AND('Pilot Project Budget'!$S$4="Multi",'Pilot Project Budget'!$R$4="FY"),ROUND(((1+'Pilot Project Budget'!$M25)^('W1'!$B$20+2)*'W1'!$F$9+(1+'Pilot Project Budget'!$M25)^('W1'!$B$20+3)*'W1'!$F$10)/'W1'!$F$5*'Pilot Project Budget'!$E25,0),(IF(AND('Pilot Project Budget'!$S$4="Multi",'Pilot Project Budget'!$R$4="PY"),ROUND('Pilot Project Budget'!$E25*((1+'Pilot Project Budget'!$M25)^3)/'W1'!$F$5*'W1'!$F$5,0),(IF(AND('Pilot Project Budget'!$S$4&lt;&gt;"Multi",'Pilot Project Budget'!$R$4="FY"),ROUND(((1+'Pilot Project Budget'!$S$4)^('W1'!$B$20+2)*'W1'!$F$9+(1+'Pilot Project Budget'!$S$4)^('W1'!$B$20+3)*'W1'!$F$10)/'W1'!$F$5*'Pilot Project Budget'!$E25,0),ROUND('Pilot Project Budget'!$E25*((1+'Pilot Project Budget'!$S$4)^3)/'W1'!$F$5*'W1'!$F$5,0))))))),(IF(AND('Pilot Project Budget'!$S$4="Multi",'Pilot Project Budget'!$R$4="FY"),ROUND(((1+'Pilot Project Budget'!$M25)^('W1'!$B$20+3)*'W1'!$F$9+(1+'Pilot Project Budget'!$M25)^('W1'!$B$20+4)*'W1'!$F$10)/'W1'!$F$5*'Pilot Project Budget'!$E25,0),(IF(AND('Pilot Project Budget'!$S$4="Multi",'Pilot Project Budget'!$R$4="PY"),ROUND('Pilot Project Budget'!$E25*((1+'Pilot Project Budget'!$M25)^3)/'W1'!$F$5*'W1'!$F$5,0),(IF(AND('Pilot Project Budget'!$S$4&lt;&gt;"Multi",'Pilot Project Budget'!$R$4="FY"),ROUND(((1+'Pilot Project Budget'!$S$4)^('W1'!$B$20+3)*'W1'!$F$9+(1+'Pilot Project Budget'!$S$4)^('W1'!$B$20+4)*'W1'!$F$10)/'W1'!$F$5*'Pilot Project Budget'!$E25,0),ROUND('Pilot Project Budget'!$E25*((1+'Pilot Project Budget'!$S$4)^3)/'W1'!$F$5*'W1'!$F$5,0)))))))))</f>
        <v/>
      </c>
      <c r="I345" s="300"/>
      <c r="J345" s="302" t="str">
        <f>IF('W1'!$G$5=0,"",IF($C$4=$D$4,(IF(AND('Pilot Project Budget'!$S$4="Multi",'Pilot Project Budget'!$R$4="FY"),ROUND(((1+'Pilot Project Budget'!$M25)^('W1'!$B$20+3)*'W1'!$G$9+(1+'Pilot Project Budget'!$M25)^('W1'!$B$20+4)*'W1'!$G$10)/'W1'!$G$5*'Pilot Project Budget'!$E25,0),(IF(AND('Pilot Project Budget'!$S$4="Multi",'Pilot Project Budget'!$R$4="PY"),ROUND('Pilot Project Budget'!$E25*((1+'Pilot Project Budget'!$M25)^4)/'W1'!$G$5*'W1'!$G$5,0),(IF(AND('Pilot Project Budget'!$S$4&lt;&gt;"Multi",'Pilot Project Budget'!$R$4="FY"),ROUND(((1+'Pilot Project Budget'!$S$4)^('W1'!$B$20+3)*'W1'!$G$9+(1+'Pilot Project Budget'!$S$4)^('W1'!$B$20+4)*'W1'!$G$10)/'W1'!$G$5*'Pilot Project Budget'!$E25,0),ROUND('Pilot Project Budget'!$E25*((1+'Pilot Project Budget'!$S$4)^4)/'W1'!$G$5*'W1'!$G$5,0))))))),(IF(AND('Pilot Project Budget'!$S$4="Multi",'Pilot Project Budget'!$R$4="FY"),ROUND(((1+'Pilot Project Budget'!$M25)^('W1'!$B$20+4)*'W1'!$G$9+(1+'Pilot Project Budget'!$M25)^('W1'!$B$20+5)*'W1'!$G$10)/'W1'!$G$5*'Pilot Project Budget'!$E25,0),(IF(AND('Pilot Project Budget'!$S$4="Multi",'Pilot Project Budget'!$R$4="PY"),ROUND('Pilot Project Budget'!$E25*((1+'Pilot Project Budget'!$M25)^4)/'W1'!$G$5*'W1'!$G$5,0),(IF(AND('Pilot Project Budget'!$S$4&lt;&gt;"Multi",'Pilot Project Budget'!$R$4="FY"),ROUND(((1+'Pilot Project Budget'!$S$4)^('W1'!$B$20+4)*'W1'!$G$9+(1+'Pilot Project Budget'!$S$4)^('W1'!$B$20+5)*'W1'!$G$10)/'W1'!$G$5*'Pilot Project Budget'!$E25,0),ROUND('Pilot Project Budget'!$E25*((1+'Pilot Project Budget'!$S$4)^4)/'W1'!$G$5*'W1'!$G$5,0)))))))))</f>
        <v/>
      </c>
      <c r="K345" s="300"/>
    </row>
    <row r="346" spans="1:11" x14ac:dyDescent="0.2">
      <c r="A346" s="82" t="e">
        <f>#REF!</f>
        <v>#REF!</v>
      </c>
      <c r="B346" s="302">
        <f>IF('W1'!$C$5=0,"",IF(AND('Pilot Project Budget'!$S$4="Multi",'Pilot Project Budget'!$R$4="FY"),ROUND(((1+'Pilot Project Budget'!$M26)^'W1'!$B$20*'W1'!$C$9+(1+'Pilot Project Budget'!$M26)^('W1'!$B$20+1)*'W1'!$C$10)/('W1'!$C$5)*'Pilot Project Budget'!$E26,0),(IF(AND('Pilot Project Budget'!$S$4="Multi",'Pilot Project Budget'!$R$4="PY"),ROUND('Pilot Project Budget'!$E26/('W1'!$C$5)*'W1'!$C$5,0),(IF(AND('Pilot Project Budget'!$S$4&lt;&gt;"Multi",'Pilot Project Budget'!$R$4="FY"),ROUND(((1+'Pilot Project Budget'!$S$4)^'W1'!$B$20*'W1'!$C$9+(1+'Pilot Project Budget'!$S$4)^('W1'!$B$20+1)*'W1'!$C$10)/'W1'!$C$5*'Pilot Project Budget'!$E26,0),ROUND('Pilot Project Budget'!$E26/'W1'!$C$5*'W1'!$C$5,0)))))))</f>
        <v>0</v>
      </c>
      <c r="C346" s="300"/>
      <c r="D346" s="302">
        <f>IF('W1'!$D$5=0,"",IF($C$4=$D$4,(IF(AND('Pilot Project Budget'!$S$4="Multi",'Pilot Project Budget'!$R$4="FY"),ROUND(((1+'Pilot Project Budget'!$M26)^('W1'!$B$20)*'W1'!$D$9+(1+'Pilot Project Budget'!$M26)^('W1'!$B$20+1)*'W1'!$D$10)/'W1'!$D$5*'Pilot Project Budget'!$E26,0),(IF(AND('Pilot Project Budget'!$S$4="Multi",'Pilot Project Budget'!$R$4="PY"),ROUND('Pilot Project Budget'!$E26*(1+'Pilot Project Budget'!$M26)/'W1'!$D$5*'W1'!$D$5,0),(IF(AND('Pilot Project Budget'!$S$4&lt;&gt;"Multi",'Pilot Project Budget'!$R$4="FY"),ROUND(((1+'Pilot Project Budget'!$S$4)^('W1'!$B$20)*'W1'!$D$9+(1+'Pilot Project Budget'!$S$4)^('W1'!$B$20+1)*'W1'!$D$10)/'W1'!$D$5*'Pilot Project Budget'!$E26,0),ROUND('Pilot Project Budget'!$E26*(1+'Pilot Project Budget'!$S$4)/'W1'!$D$5*'W1'!$D$5,0))))))),(IF(AND('Pilot Project Budget'!$S$4="Multi",'Pilot Project Budget'!$R$4="FY"),ROUND(((1+'Pilot Project Budget'!$M26)^('W1'!$B$20+1)*'W1'!$D$9+(1+'Pilot Project Budget'!$M26)^('W1'!$B$20+2)*'W1'!$D$10)/'W1'!$D$5*'Pilot Project Budget'!$E26,0),(IF(AND('Pilot Project Budget'!$S$4="Multi",'Pilot Project Budget'!$R$4="PY"),ROUND('Pilot Project Budget'!$E26*(1+'Pilot Project Budget'!$M26)/'W1'!$D$5*'W1'!$D$5,0),(IF(AND('Pilot Project Budget'!$S$4&lt;&gt;"Multi",'Pilot Project Budget'!$R$4="FY"),ROUND(((1+'Pilot Project Budget'!$S$4)^('W1'!$B$20+1)*'W1'!$D$9+(1+'Pilot Project Budget'!$S$4)^('W1'!$B$20+2)*'W1'!$D$10)/'W1'!$D$5*'Pilot Project Budget'!$E26,0),ROUND('Pilot Project Budget'!$E26*(1+'Pilot Project Budget'!$S$4)/'W1'!$D$5*'W1'!$D$5,0)))))))))</f>
        <v>0</v>
      </c>
      <c r="E346" s="300"/>
      <c r="F346" s="302" t="str">
        <f>IF('W1'!$E$5=0,"",IF($C$4=$D$4,(IF(AND('Pilot Project Budget'!$S$4="Multi",'Pilot Project Budget'!$R$4="FY"),ROUND(((1+'Pilot Project Budget'!$M26)^('W1'!$B$20+1)*'W1'!$E$9+(1+'Pilot Project Budget'!$M26)^('W1'!$B$20+3)*'W1'!$E$10)/'W1'!$E$5*'Pilot Project Budget'!$E26,0),(IF(AND('Pilot Project Budget'!$S$4="Multi",'Pilot Project Budget'!$R$4="PY"),ROUND('Pilot Project Budget'!$E26*((1+'Pilot Project Budget'!$M26)^2)/'W1'!$E$5*'W1'!$E$5,0),(IF(AND('Pilot Project Budget'!$S$4&lt;&gt;"Multi",'Pilot Project Budget'!$R$4="FY"),ROUND(((1+'Pilot Project Budget'!$S$4)^('W1'!$B$20+1)*'W1'!$E$9+(1+'Pilot Project Budget'!$S$4)^('W1'!$B$20+2)*'W1'!$E$10)/'W1'!$E$5*'Pilot Project Budget'!$E26,0),ROUND('Pilot Project Budget'!$E26*((1+'Pilot Project Budget'!$S$4)^2)/'W1'!$E$5*'W1'!$E$5,0))))))),(IF(AND('Pilot Project Budget'!$S$4="Multi",'Pilot Project Budget'!$R$4="FY"),ROUND(((1+'Pilot Project Budget'!$M26)^('W1'!$B$20+2)*'W1'!$E$9+(1+'Pilot Project Budget'!$M26)^('W1'!$B$20+3)*'W1'!$E$10)/'W1'!$E$5*'Pilot Project Budget'!$E26,0),(IF(AND('Pilot Project Budget'!$S$4="Multi",'Pilot Project Budget'!$R$4="PY"),ROUND('Pilot Project Budget'!$E26*((1+'Pilot Project Budget'!$M26)^2)/'W1'!$E$5*'W1'!$E$5,0),(IF(AND('Pilot Project Budget'!$S$4&lt;&gt;"Multi",'Pilot Project Budget'!$R$4="FY"),ROUND(((1+'Pilot Project Budget'!$S$4)^('W1'!$B$20+2)*'W1'!$E$9+(1+'Pilot Project Budget'!$S$4)^('W1'!$B$20+3)*'W1'!$E$10)/'W1'!$E$5*'Pilot Project Budget'!$E26,0),ROUND('Pilot Project Budget'!$E26*((1+'Pilot Project Budget'!$S$4)^2)/'W1'!$E$5*'W1'!$E$5,0)))))))))</f>
        <v/>
      </c>
      <c r="G346" s="300"/>
      <c r="H346" s="302" t="str">
        <f>IF('W1'!$F$5=0,"",IF($C$4=$D$4,(IF(AND('Pilot Project Budget'!$S$4="Multi",'Pilot Project Budget'!$R$4="FY"),ROUND(((1+'Pilot Project Budget'!$M26)^('W1'!$B$20+2)*'W1'!$F$9+(1+'Pilot Project Budget'!$M26)^('W1'!$B$20+3)*'W1'!$F$10)/'W1'!$F$5*'Pilot Project Budget'!$E26,0),(IF(AND('Pilot Project Budget'!$S$4="Multi",'Pilot Project Budget'!$R$4="PY"),ROUND('Pilot Project Budget'!$E26*((1+'Pilot Project Budget'!$M26)^3)/'W1'!$F$5*'W1'!$F$5,0),(IF(AND('Pilot Project Budget'!$S$4&lt;&gt;"Multi",'Pilot Project Budget'!$R$4="FY"),ROUND(((1+'Pilot Project Budget'!$S$4)^('W1'!$B$20+2)*'W1'!$F$9+(1+'Pilot Project Budget'!$S$4)^('W1'!$B$20+3)*'W1'!$F$10)/'W1'!$F$5*'Pilot Project Budget'!$E26,0),ROUND('Pilot Project Budget'!$E26*((1+'Pilot Project Budget'!$S$4)^3)/'W1'!$F$5*'W1'!$F$5,0))))))),(IF(AND('Pilot Project Budget'!$S$4="Multi",'Pilot Project Budget'!$R$4="FY"),ROUND(((1+'Pilot Project Budget'!$M26)^('W1'!$B$20+3)*'W1'!$F$9+(1+'Pilot Project Budget'!$M26)^('W1'!$B$20+4)*'W1'!$F$10)/'W1'!$F$5*'Pilot Project Budget'!$E26,0),(IF(AND('Pilot Project Budget'!$S$4="Multi",'Pilot Project Budget'!$R$4="PY"),ROUND('Pilot Project Budget'!$E26*((1+'Pilot Project Budget'!$M26)^3)/'W1'!$F$5*'W1'!$F$5,0),(IF(AND('Pilot Project Budget'!$S$4&lt;&gt;"Multi",'Pilot Project Budget'!$R$4="FY"),ROUND(((1+'Pilot Project Budget'!$S$4)^('W1'!$B$20+3)*'W1'!$F$9+(1+'Pilot Project Budget'!$S$4)^('W1'!$B$20+4)*'W1'!$F$10)/'W1'!$F$5*'Pilot Project Budget'!$E26,0),ROUND('Pilot Project Budget'!$E26*((1+'Pilot Project Budget'!$S$4)^3)/'W1'!$F$5*'W1'!$F$5,0)))))))))</f>
        <v/>
      </c>
      <c r="I346" s="300"/>
      <c r="J346" s="302" t="str">
        <f>IF('W1'!$G$5=0,"",IF($C$4=$D$4,(IF(AND('Pilot Project Budget'!$S$4="Multi",'Pilot Project Budget'!$R$4="FY"),ROUND(((1+'Pilot Project Budget'!$M26)^('W1'!$B$20+3)*'W1'!$G$9+(1+'Pilot Project Budget'!$M26)^('W1'!$B$20+4)*'W1'!$G$10)/'W1'!$G$5*'Pilot Project Budget'!$E26,0),(IF(AND('Pilot Project Budget'!$S$4="Multi",'Pilot Project Budget'!$R$4="PY"),ROUND('Pilot Project Budget'!$E26*((1+'Pilot Project Budget'!$M26)^4)/'W1'!$G$5*'W1'!$G$5,0),(IF(AND('Pilot Project Budget'!$S$4&lt;&gt;"Multi",'Pilot Project Budget'!$R$4="FY"),ROUND(((1+'Pilot Project Budget'!$S$4)^('W1'!$B$20+3)*'W1'!$G$9+(1+'Pilot Project Budget'!$S$4)^('W1'!$B$20+4)*'W1'!$G$10)/'W1'!$G$5*'Pilot Project Budget'!$E26,0),ROUND('Pilot Project Budget'!$E26*((1+'Pilot Project Budget'!$S$4)^4)/'W1'!$G$5*'W1'!$G$5,0))))))),(IF(AND('Pilot Project Budget'!$S$4="Multi",'Pilot Project Budget'!$R$4="FY"),ROUND(((1+'Pilot Project Budget'!$M26)^('W1'!$B$20+4)*'W1'!$G$9+(1+'Pilot Project Budget'!$M26)^('W1'!$B$20+5)*'W1'!$G$10)/'W1'!$G$5*'Pilot Project Budget'!$E26,0),(IF(AND('Pilot Project Budget'!$S$4="Multi",'Pilot Project Budget'!$R$4="PY"),ROUND('Pilot Project Budget'!$E26*((1+'Pilot Project Budget'!$M26)^4)/'W1'!$G$5*'W1'!$G$5,0),(IF(AND('Pilot Project Budget'!$S$4&lt;&gt;"Multi",'Pilot Project Budget'!$R$4="FY"),ROUND(((1+'Pilot Project Budget'!$S$4)^('W1'!$B$20+4)*'W1'!$G$9+(1+'Pilot Project Budget'!$S$4)^('W1'!$B$20+5)*'W1'!$G$10)/'W1'!$G$5*'Pilot Project Budget'!$E26,0),ROUND('Pilot Project Budget'!$E26*((1+'Pilot Project Budget'!$S$4)^4)/'W1'!$G$5*'W1'!$G$5,0)))))))))</f>
        <v/>
      </c>
      <c r="K346" s="300"/>
    </row>
    <row r="347" spans="1:11" x14ac:dyDescent="0.2">
      <c r="A347" s="82" t="e">
        <f>#REF!</f>
        <v>#REF!</v>
      </c>
      <c r="B347" s="302">
        <f>IF('W1'!$C$5=0,"",IF(AND('Pilot Project Budget'!$S$4="Multi",'Pilot Project Budget'!$R$4="FY"),ROUND(((1+'Pilot Project Budget'!$M27)^'W1'!$B$20*'W1'!$C$9+(1+'Pilot Project Budget'!$M27)^('W1'!$B$20+1)*'W1'!$C$10)/('W1'!$C$5)*'Pilot Project Budget'!$E27,0),(IF(AND('Pilot Project Budget'!$S$4="Multi",'Pilot Project Budget'!$R$4="PY"),ROUND('Pilot Project Budget'!$E27/('W1'!$C$5)*'W1'!$C$5,0),(IF(AND('Pilot Project Budget'!$S$4&lt;&gt;"Multi",'Pilot Project Budget'!$R$4="FY"),ROUND(((1+'Pilot Project Budget'!$S$4)^'W1'!$B$20*'W1'!$C$9+(1+'Pilot Project Budget'!$S$4)^('W1'!$B$20+1)*'W1'!$C$10)/'W1'!$C$5*'Pilot Project Budget'!$E27,0),ROUND('Pilot Project Budget'!$E27/'W1'!$C$5*'W1'!$C$5,0)))))))</f>
        <v>0</v>
      </c>
      <c r="C347" s="300"/>
      <c r="D347" s="302">
        <f>IF('W1'!$D$5=0,"",IF($C$4=$D$4,(IF(AND('Pilot Project Budget'!$S$4="Multi",'Pilot Project Budget'!$R$4="FY"),ROUND(((1+'Pilot Project Budget'!$M27)^('W1'!$B$20)*'W1'!$D$9+(1+'Pilot Project Budget'!$M27)^('W1'!$B$20+1)*'W1'!$D$10)/'W1'!$D$5*'Pilot Project Budget'!$E27,0),(IF(AND('Pilot Project Budget'!$S$4="Multi",'Pilot Project Budget'!$R$4="PY"),ROUND('Pilot Project Budget'!$E27*(1+'Pilot Project Budget'!$M27)/'W1'!$D$5*'W1'!$D$5,0),(IF(AND('Pilot Project Budget'!$S$4&lt;&gt;"Multi",'Pilot Project Budget'!$R$4="FY"),ROUND(((1+'Pilot Project Budget'!$S$4)^('W1'!$B$20)*'W1'!$D$9+(1+'Pilot Project Budget'!$S$4)^('W1'!$B$20+1)*'W1'!$D$10)/'W1'!$D$5*'Pilot Project Budget'!$E27,0),ROUND('Pilot Project Budget'!$E27*(1+'Pilot Project Budget'!$S$4)/'W1'!$D$5*'W1'!$D$5,0))))))),(IF(AND('Pilot Project Budget'!$S$4="Multi",'Pilot Project Budget'!$R$4="FY"),ROUND(((1+'Pilot Project Budget'!$M27)^('W1'!$B$20+1)*'W1'!$D$9+(1+'Pilot Project Budget'!$M27)^('W1'!$B$20+2)*'W1'!$D$10)/'W1'!$D$5*'Pilot Project Budget'!$E27,0),(IF(AND('Pilot Project Budget'!$S$4="Multi",'Pilot Project Budget'!$R$4="PY"),ROUND('Pilot Project Budget'!$E27*(1+'Pilot Project Budget'!$M27)/'W1'!$D$5*'W1'!$D$5,0),(IF(AND('Pilot Project Budget'!$S$4&lt;&gt;"Multi",'Pilot Project Budget'!$R$4="FY"),ROUND(((1+'Pilot Project Budget'!$S$4)^('W1'!$B$20+1)*'W1'!$D$9+(1+'Pilot Project Budget'!$S$4)^('W1'!$B$20+2)*'W1'!$D$10)/'W1'!$D$5*'Pilot Project Budget'!$E27,0),ROUND('Pilot Project Budget'!$E27*(1+'Pilot Project Budget'!$S$4)/'W1'!$D$5*'W1'!$D$5,0)))))))))</f>
        <v>0</v>
      </c>
      <c r="E347" s="300"/>
      <c r="F347" s="302" t="str">
        <f>IF('W1'!$E$5=0,"",IF($C$4=$D$4,(IF(AND('Pilot Project Budget'!$S$4="Multi",'Pilot Project Budget'!$R$4="FY"),ROUND(((1+'Pilot Project Budget'!$M27)^('W1'!$B$20+1)*'W1'!$E$9+(1+'Pilot Project Budget'!$M27)^('W1'!$B$20+3)*'W1'!$E$10)/'W1'!$E$5*'Pilot Project Budget'!$E27,0),(IF(AND('Pilot Project Budget'!$S$4="Multi",'Pilot Project Budget'!$R$4="PY"),ROUND('Pilot Project Budget'!$E27*((1+'Pilot Project Budget'!$M27)^2)/'W1'!$E$5*'W1'!$E$5,0),(IF(AND('Pilot Project Budget'!$S$4&lt;&gt;"Multi",'Pilot Project Budget'!$R$4="FY"),ROUND(((1+'Pilot Project Budget'!$S$4)^('W1'!$B$20+1)*'W1'!$E$9+(1+'Pilot Project Budget'!$S$4)^('W1'!$B$20+2)*'W1'!$E$10)/'W1'!$E$5*'Pilot Project Budget'!$E27,0),ROUND('Pilot Project Budget'!$E27*((1+'Pilot Project Budget'!$S$4)^2)/'W1'!$E$5*'W1'!$E$5,0))))))),(IF(AND('Pilot Project Budget'!$S$4="Multi",'Pilot Project Budget'!$R$4="FY"),ROUND(((1+'Pilot Project Budget'!$M27)^('W1'!$B$20+2)*'W1'!$E$9+(1+'Pilot Project Budget'!$M27)^('W1'!$B$20+3)*'W1'!$E$10)/'W1'!$E$5*'Pilot Project Budget'!$E27,0),(IF(AND('Pilot Project Budget'!$S$4="Multi",'Pilot Project Budget'!$R$4="PY"),ROUND('Pilot Project Budget'!$E27*((1+'Pilot Project Budget'!$M27)^2)/'W1'!$E$5*'W1'!$E$5,0),(IF(AND('Pilot Project Budget'!$S$4&lt;&gt;"Multi",'Pilot Project Budget'!$R$4="FY"),ROUND(((1+'Pilot Project Budget'!$S$4)^('W1'!$B$20+2)*'W1'!$E$9+(1+'Pilot Project Budget'!$S$4)^('W1'!$B$20+3)*'W1'!$E$10)/'W1'!$E$5*'Pilot Project Budget'!$E27,0),ROUND('Pilot Project Budget'!$E27*((1+'Pilot Project Budget'!$S$4)^2)/'W1'!$E$5*'W1'!$E$5,0)))))))))</f>
        <v/>
      </c>
      <c r="G347" s="300"/>
      <c r="H347" s="302" t="str">
        <f>IF('W1'!$F$5=0,"",IF($C$4=$D$4,(IF(AND('Pilot Project Budget'!$S$4="Multi",'Pilot Project Budget'!$R$4="FY"),ROUND(((1+'Pilot Project Budget'!$M27)^('W1'!$B$20+2)*'W1'!$F$9+(1+'Pilot Project Budget'!$M27)^('W1'!$B$20+3)*'W1'!$F$10)/'W1'!$F$5*'Pilot Project Budget'!$E27,0),(IF(AND('Pilot Project Budget'!$S$4="Multi",'Pilot Project Budget'!$R$4="PY"),ROUND('Pilot Project Budget'!$E27*((1+'Pilot Project Budget'!$M27)^3)/'W1'!$F$5*'W1'!$F$5,0),(IF(AND('Pilot Project Budget'!$S$4&lt;&gt;"Multi",'Pilot Project Budget'!$R$4="FY"),ROUND(((1+'Pilot Project Budget'!$S$4)^('W1'!$B$20+2)*'W1'!$F$9+(1+'Pilot Project Budget'!$S$4)^('W1'!$B$20+3)*'W1'!$F$10)/'W1'!$F$5*'Pilot Project Budget'!$E27,0),ROUND('Pilot Project Budget'!$E27*((1+'Pilot Project Budget'!$S$4)^3)/'W1'!$F$5*'W1'!$F$5,0))))))),(IF(AND('Pilot Project Budget'!$S$4="Multi",'Pilot Project Budget'!$R$4="FY"),ROUND(((1+'Pilot Project Budget'!$M27)^('W1'!$B$20+3)*'W1'!$F$9+(1+'Pilot Project Budget'!$M27)^('W1'!$B$20+4)*'W1'!$F$10)/'W1'!$F$5*'Pilot Project Budget'!$E27,0),(IF(AND('Pilot Project Budget'!$S$4="Multi",'Pilot Project Budget'!$R$4="PY"),ROUND('Pilot Project Budget'!$E27*((1+'Pilot Project Budget'!$M27)^3)/'W1'!$F$5*'W1'!$F$5,0),(IF(AND('Pilot Project Budget'!$S$4&lt;&gt;"Multi",'Pilot Project Budget'!$R$4="FY"),ROUND(((1+'Pilot Project Budget'!$S$4)^('W1'!$B$20+3)*'W1'!$F$9+(1+'Pilot Project Budget'!$S$4)^('W1'!$B$20+4)*'W1'!$F$10)/'W1'!$F$5*'Pilot Project Budget'!$E27,0),ROUND('Pilot Project Budget'!$E27*((1+'Pilot Project Budget'!$S$4)^3)/'W1'!$F$5*'W1'!$F$5,0)))))))))</f>
        <v/>
      </c>
      <c r="I347" s="300"/>
      <c r="J347" s="302" t="str">
        <f>IF('W1'!$G$5=0,"",IF($C$4=$D$4,(IF(AND('Pilot Project Budget'!$S$4="Multi",'Pilot Project Budget'!$R$4="FY"),ROUND(((1+'Pilot Project Budget'!$M27)^('W1'!$B$20+3)*'W1'!$G$9+(1+'Pilot Project Budget'!$M27)^('W1'!$B$20+4)*'W1'!$G$10)/'W1'!$G$5*'Pilot Project Budget'!$E27,0),(IF(AND('Pilot Project Budget'!$S$4="Multi",'Pilot Project Budget'!$R$4="PY"),ROUND('Pilot Project Budget'!$E27*((1+'Pilot Project Budget'!$M27)^4)/'W1'!$G$5*'W1'!$G$5,0),(IF(AND('Pilot Project Budget'!$S$4&lt;&gt;"Multi",'Pilot Project Budget'!$R$4="FY"),ROUND(((1+'Pilot Project Budget'!$S$4)^('W1'!$B$20+3)*'W1'!$G$9+(1+'Pilot Project Budget'!$S$4)^('W1'!$B$20+4)*'W1'!$G$10)/'W1'!$G$5*'Pilot Project Budget'!$E27,0),ROUND('Pilot Project Budget'!$E27*((1+'Pilot Project Budget'!$S$4)^4)/'W1'!$G$5*'W1'!$G$5,0))))))),(IF(AND('Pilot Project Budget'!$S$4="Multi",'Pilot Project Budget'!$R$4="FY"),ROUND(((1+'Pilot Project Budget'!$M27)^('W1'!$B$20+4)*'W1'!$G$9+(1+'Pilot Project Budget'!$M27)^('W1'!$B$20+5)*'W1'!$G$10)/'W1'!$G$5*'Pilot Project Budget'!$E27,0),(IF(AND('Pilot Project Budget'!$S$4="Multi",'Pilot Project Budget'!$R$4="PY"),ROUND('Pilot Project Budget'!$E27*((1+'Pilot Project Budget'!$M27)^4)/'W1'!$G$5*'W1'!$G$5,0),(IF(AND('Pilot Project Budget'!$S$4&lt;&gt;"Multi",'Pilot Project Budget'!$R$4="FY"),ROUND(((1+'Pilot Project Budget'!$S$4)^('W1'!$B$20+4)*'W1'!$G$9+(1+'Pilot Project Budget'!$S$4)^('W1'!$B$20+5)*'W1'!$G$10)/'W1'!$G$5*'Pilot Project Budget'!$E27,0),ROUND('Pilot Project Budget'!$E27*((1+'Pilot Project Budget'!$S$4)^4)/'W1'!$G$5*'W1'!$G$5,0)))))))))</f>
        <v/>
      </c>
      <c r="K347" s="300"/>
    </row>
    <row r="348" spans="1:11" x14ac:dyDescent="0.2">
      <c r="A348" s="82" t="e">
        <f>#REF!</f>
        <v>#REF!</v>
      </c>
      <c r="B348" s="302">
        <f>IF('W1'!$C$5=0,"",IF(AND('Pilot Project Budget'!$S$4="Multi",'Pilot Project Budget'!$R$4="FY"),ROUND(((1+'Pilot Project Budget'!$M28)^'W1'!$B$20*'W1'!$C$9+(1+'Pilot Project Budget'!$M28)^('W1'!$B$20+1)*'W1'!$C$10)/('W1'!$C$5)*'Pilot Project Budget'!$E28,0),(IF(AND('Pilot Project Budget'!$S$4="Multi",'Pilot Project Budget'!$R$4="PY"),ROUND('Pilot Project Budget'!$E28/('W1'!$C$5)*'W1'!$C$5,0),(IF(AND('Pilot Project Budget'!$S$4&lt;&gt;"Multi",'Pilot Project Budget'!$R$4="FY"),ROUND(((1+'Pilot Project Budget'!$S$4)^'W1'!$B$20*'W1'!$C$9+(1+'Pilot Project Budget'!$S$4)^('W1'!$B$20+1)*'W1'!$C$10)/'W1'!$C$5*'Pilot Project Budget'!$E28,0),ROUND('Pilot Project Budget'!$E28/'W1'!$C$5*'W1'!$C$5,0)))))))</f>
        <v>0</v>
      </c>
      <c r="C348" s="300"/>
      <c r="D348" s="302">
        <f>IF('W1'!$D$5=0,"",IF($C$4=$D$4,(IF(AND('Pilot Project Budget'!$S$4="Multi",'Pilot Project Budget'!$R$4="FY"),ROUND(((1+'Pilot Project Budget'!$M28)^('W1'!$B$20)*'W1'!$D$9+(1+'Pilot Project Budget'!$M28)^('W1'!$B$20+1)*'W1'!$D$10)/'W1'!$D$5*'Pilot Project Budget'!$E28,0),(IF(AND('Pilot Project Budget'!$S$4="Multi",'Pilot Project Budget'!$R$4="PY"),ROUND('Pilot Project Budget'!$E28*(1+'Pilot Project Budget'!$M28)/'W1'!$D$5*'W1'!$D$5,0),(IF(AND('Pilot Project Budget'!$S$4&lt;&gt;"Multi",'Pilot Project Budget'!$R$4="FY"),ROUND(((1+'Pilot Project Budget'!$S$4)^('W1'!$B$20)*'W1'!$D$9+(1+'Pilot Project Budget'!$S$4)^('W1'!$B$20+1)*'W1'!$D$10)/'W1'!$D$5*'Pilot Project Budget'!$E28,0),ROUND('Pilot Project Budget'!$E28*(1+'Pilot Project Budget'!$S$4)/'W1'!$D$5*'W1'!$D$5,0))))))),(IF(AND('Pilot Project Budget'!$S$4="Multi",'Pilot Project Budget'!$R$4="FY"),ROUND(((1+'Pilot Project Budget'!$M28)^('W1'!$B$20+1)*'W1'!$D$9+(1+'Pilot Project Budget'!$M28)^('W1'!$B$20+2)*'W1'!$D$10)/'W1'!$D$5*'Pilot Project Budget'!$E28,0),(IF(AND('Pilot Project Budget'!$S$4="Multi",'Pilot Project Budget'!$R$4="PY"),ROUND('Pilot Project Budget'!$E28*(1+'Pilot Project Budget'!$M28)/'W1'!$D$5*'W1'!$D$5,0),(IF(AND('Pilot Project Budget'!$S$4&lt;&gt;"Multi",'Pilot Project Budget'!$R$4="FY"),ROUND(((1+'Pilot Project Budget'!$S$4)^('W1'!$B$20+1)*'W1'!$D$9+(1+'Pilot Project Budget'!$S$4)^('W1'!$B$20+2)*'W1'!$D$10)/'W1'!$D$5*'Pilot Project Budget'!$E28,0),ROUND('Pilot Project Budget'!$E28*(1+'Pilot Project Budget'!$S$4)/'W1'!$D$5*'W1'!$D$5,0)))))))))</f>
        <v>0</v>
      </c>
      <c r="E348" s="300"/>
      <c r="F348" s="302" t="str">
        <f>IF('W1'!$E$5=0,"",IF($C$4=$D$4,(IF(AND('Pilot Project Budget'!$S$4="Multi",'Pilot Project Budget'!$R$4="FY"),ROUND(((1+'Pilot Project Budget'!$M28)^('W1'!$B$20+1)*'W1'!$E$9+(1+'Pilot Project Budget'!$M28)^('W1'!$B$20+3)*'W1'!$E$10)/'W1'!$E$5*'Pilot Project Budget'!$E28,0),(IF(AND('Pilot Project Budget'!$S$4="Multi",'Pilot Project Budget'!$R$4="PY"),ROUND('Pilot Project Budget'!$E28*((1+'Pilot Project Budget'!$M28)^2)/'W1'!$E$5*'W1'!$E$5,0),(IF(AND('Pilot Project Budget'!$S$4&lt;&gt;"Multi",'Pilot Project Budget'!$R$4="FY"),ROUND(((1+'Pilot Project Budget'!$S$4)^('W1'!$B$20+1)*'W1'!$E$9+(1+'Pilot Project Budget'!$S$4)^('W1'!$B$20+2)*'W1'!$E$10)/'W1'!$E$5*'Pilot Project Budget'!$E28,0),ROUND('Pilot Project Budget'!$E28*((1+'Pilot Project Budget'!$S$4)^2)/'W1'!$E$5*'W1'!$E$5,0))))))),(IF(AND('Pilot Project Budget'!$S$4="Multi",'Pilot Project Budget'!$R$4="FY"),ROUND(((1+'Pilot Project Budget'!$M28)^('W1'!$B$20+2)*'W1'!$E$9+(1+'Pilot Project Budget'!$M28)^('W1'!$B$20+3)*'W1'!$E$10)/'W1'!$E$5*'Pilot Project Budget'!$E28,0),(IF(AND('Pilot Project Budget'!$S$4="Multi",'Pilot Project Budget'!$R$4="PY"),ROUND('Pilot Project Budget'!$E28*((1+'Pilot Project Budget'!$M28)^2)/'W1'!$E$5*'W1'!$E$5,0),(IF(AND('Pilot Project Budget'!$S$4&lt;&gt;"Multi",'Pilot Project Budget'!$R$4="FY"),ROUND(((1+'Pilot Project Budget'!$S$4)^('W1'!$B$20+2)*'W1'!$E$9+(1+'Pilot Project Budget'!$S$4)^('W1'!$B$20+3)*'W1'!$E$10)/'W1'!$E$5*'Pilot Project Budget'!$E28,0),ROUND('Pilot Project Budget'!$E28*((1+'Pilot Project Budget'!$S$4)^2)/'W1'!$E$5*'W1'!$E$5,0)))))))))</f>
        <v/>
      </c>
      <c r="G348" s="300"/>
      <c r="H348" s="302" t="str">
        <f>IF('W1'!$F$5=0,"",IF($C$4=$D$4,(IF(AND('Pilot Project Budget'!$S$4="Multi",'Pilot Project Budget'!$R$4="FY"),ROUND(((1+'Pilot Project Budget'!$M28)^('W1'!$B$20+2)*'W1'!$F$9+(1+'Pilot Project Budget'!$M28)^('W1'!$B$20+3)*'W1'!$F$10)/'W1'!$F$5*'Pilot Project Budget'!$E28,0),(IF(AND('Pilot Project Budget'!$S$4="Multi",'Pilot Project Budget'!$R$4="PY"),ROUND('Pilot Project Budget'!$E28*((1+'Pilot Project Budget'!$M28)^3)/'W1'!$F$5*'W1'!$F$5,0),(IF(AND('Pilot Project Budget'!$S$4&lt;&gt;"Multi",'Pilot Project Budget'!$R$4="FY"),ROUND(((1+'Pilot Project Budget'!$S$4)^('W1'!$B$20+2)*'W1'!$F$9+(1+'Pilot Project Budget'!$S$4)^('W1'!$B$20+3)*'W1'!$F$10)/'W1'!$F$5*'Pilot Project Budget'!$E28,0),ROUND('Pilot Project Budget'!$E28*((1+'Pilot Project Budget'!$S$4)^3)/'W1'!$F$5*'W1'!$F$5,0))))))),(IF(AND('Pilot Project Budget'!$S$4="Multi",'Pilot Project Budget'!$R$4="FY"),ROUND(((1+'Pilot Project Budget'!$M28)^('W1'!$B$20+3)*'W1'!$F$9+(1+'Pilot Project Budget'!$M28)^('W1'!$B$20+4)*'W1'!$F$10)/'W1'!$F$5*'Pilot Project Budget'!$E28,0),(IF(AND('Pilot Project Budget'!$S$4="Multi",'Pilot Project Budget'!$R$4="PY"),ROUND('Pilot Project Budget'!$E28*((1+'Pilot Project Budget'!$M28)^3)/'W1'!$F$5*'W1'!$F$5,0),(IF(AND('Pilot Project Budget'!$S$4&lt;&gt;"Multi",'Pilot Project Budget'!$R$4="FY"),ROUND(((1+'Pilot Project Budget'!$S$4)^('W1'!$B$20+3)*'W1'!$F$9+(1+'Pilot Project Budget'!$S$4)^('W1'!$B$20+4)*'W1'!$F$10)/'W1'!$F$5*'Pilot Project Budget'!$E28,0),ROUND('Pilot Project Budget'!$E28*((1+'Pilot Project Budget'!$S$4)^3)/'W1'!$F$5*'W1'!$F$5,0)))))))))</f>
        <v/>
      </c>
      <c r="I348" s="300"/>
      <c r="J348" s="302" t="str">
        <f>IF('W1'!$G$5=0,"",IF($C$4=$D$4,(IF(AND('Pilot Project Budget'!$S$4="Multi",'Pilot Project Budget'!$R$4="FY"),ROUND(((1+'Pilot Project Budget'!$M28)^('W1'!$B$20+3)*'W1'!$G$9+(1+'Pilot Project Budget'!$M28)^('W1'!$B$20+4)*'W1'!$G$10)/'W1'!$G$5*'Pilot Project Budget'!$E28,0),(IF(AND('Pilot Project Budget'!$S$4="Multi",'Pilot Project Budget'!$R$4="PY"),ROUND('Pilot Project Budget'!$E28*((1+'Pilot Project Budget'!$M28)^4)/'W1'!$G$5*'W1'!$G$5,0),(IF(AND('Pilot Project Budget'!$S$4&lt;&gt;"Multi",'Pilot Project Budget'!$R$4="FY"),ROUND(((1+'Pilot Project Budget'!$S$4)^('W1'!$B$20+3)*'W1'!$G$9+(1+'Pilot Project Budget'!$S$4)^('W1'!$B$20+4)*'W1'!$G$10)/'W1'!$G$5*'Pilot Project Budget'!$E28,0),ROUND('Pilot Project Budget'!$E28*((1+'Pilot Project Budget'!$S$4)^4)/'W1'!$G$5*'W1'!$G$5,0))))))),(IF(AND('Pilot Project Budget'!$S$4="Multi",'Pilot Project Budget'!$R$4="FY"),ROUND(((1+'Pilot Project Budget'!$M28)^('W1'!$B$20+4)*'W1'!$G$9+(1+'Pilot Project Budget'!$M28)^('W1'!$B$20+5)*'W1'!$G$10)/'W1'!$G$5*'Pilot Project Budget'!$E28,0),(IF(AND('Pilot Project Budget'!$S$4="Multi",'Pilot Project Budget'!$R$4="PY"),ROUND('Pilot Project Budget'!$E28*((1+'Pilot Project Budget'!$M28)^4)/'W1'!$G$5*'W1'!$G$5,0),(IF(AND('Pilot Project Budget'!$S$4&lt;&gt;"Multi",'Pilot Project Budget'!$R$4="FY"),ROUND(((1+'Pilot Project Budget'!$S$4)^('W1'!$B$20+4)*'W1'!$G$9+(1+'Pilot Project Budget'!$S$4)^('W1'!$B$20+5)*'W1'!$G$10)/'W1'!$G$5*'Pilot Project Budget'!$E28,0),ROUND('Pilot Project Budget'!$E28*((1+'Pilot Project Budget'!$S$4)^4)/'W1'!$G$5*'W1'!$G$5,0)))))))))</f>
        <v/>
      </c>
      <c r="K348" s="300"/>
    </row>
    <row r="349" spans="1:11" x14ac:dyDescent="0.2">
      <c r="A349" s="82" t="e">
        <f>#REF!</f>
        <v>#REF!</v>
      </c>
      <c r="B349" s="302">
        <f>IF('W1'!$C$5=0,"",IF(AND('Pilot Project Budget'!$S$4="Multi",'Pilot Project Budget'!$R$4="FY"),ROUND(((1+'Pilot Project Budget'!$M29)^'W1'!$B$20*'W1'!$C$9+(1+'Pilot Project Budget'!$M29)^('W1'!$B$20+1)*'W1'!$C$10)/('W1'!$C$5)*'Pilot Project Budget'!$E29,0),(IF(AND('Pilot Project Budget'!$S$4="Multi",'Pilot Project Budget'!$R$4="PY"),ROUND('Pilot Project Budget'!$E29/('W1'!$C$5)*'W1'!$C$5,0),(IF(AND('Pilot Project Budget'!$S$4&lt;&gt;"Multi",'Pilot Project Budget'!$R$4="FY"),ROUND(((1+'Pilot Project Budget'!$S$4)^'W1'!$B$20*'W1'!$C$9+(1+'Pilot Project Budget'!$S$4)^('W1'!$B$20+1)*'W1'!$C$10)/'W1'!$C$5*'Pilot Project Budget'!$E29,0),ROUND('Pilot Project Budget'!$E29/'W1'!$C$5*'W1'!$C$5,0)))))))</f>
        <v>0</v>
      </c>
      <c r="C349" s="300"/>
      <c r="D349" s="302">
        <f>IF('W1'!$D$5=0,"",IF($C$4=$D$4,(IF(AND('Pilot Project Budget'!$S$4="Multi",'Pilot Project Budget'!$R$4="FY"),ROUND(((1+'Pilot Project Budget'!$M29)^('W1'!$B$20)*'W1'!$D$9+(1+'Pilot Project Budget'!$M29)^('W1'!$B$20+1)*'W1'!$D$10)/'W1'!$D$5*'Pilot Project Budget'!$E29,0),(IF(AND('Pilot Project Budget'!$S$4="Multi",'Pilot Project Budget'!$R$4="PY"),ROUND('Pilot Project Budget'!$E29*(1+'Pilot Project Budget'!$M29)/'W1'!$D$5*'W1'!$D$5,0),(IF(AND('Pilot Project Budget'!$S$4&lt;&gt;"Multi",'Pilot Project Budget'!$R$4="FY"),ROUND(((1+'Pilot Project Budget'!$S$4)^('W1'!$B$20)*'W1'!$D$9+(1+'Pilot Project Budget'!$S$4)^('W1'!$B$20+1)*'W1'!$D$10)/'W1'!$D$5*'Pilot Project Budget'!$E29,0),ROUND('Pilot Project Budget'!$E29*(1+'Pilot Project Budget'!$S$4)/'W1'!$D$5*'W1'!$D$5,0))))))),(IF(AND('Pilot Project Budget'!$S$4="Multi",'Pilot Project Budget'!$R$4="FY"),ROUND(((1+'Pilot Project Budget'!$M29)^('W1'!$B$20+1)*'W1'!$D$9+(1+'Pilot Project Budget'!$M29)^('W1'!$B$20+2)*'W1'!$D$10)/'W1'!$D$5*'Pilot Project Budget'!$E29,0),(IF(AND('Pilot Project Budget'!$S$4="Multi",'Pilot Project Budget'!$R$4="PY"),ROUND('Pilot Project Budget'!$E29*(1+'Pilot Project Budget'!$M29)/'W1'!$D$5*'W1'!$D$5,0),(IF(AND('Pilot Project Budget'!$S$4&lt;&gt;"Multi",'Pilot Project Budget'!$R$4="FY"),ROUND(((1+'Pilot Project Budget'!$S$4)^('W1'!$B$20+1)*'W1'!$D$9+(1+'Pilot Project Budget'!$S$4)^('W1'!$B$20+2)*'W1'!$D$10)/'W1'!$D$5*'Pilot Project Budget'!$E29,0),ROUND('Pilot Project Budget'!$E29*(1+'Pilot Project Budget'!$S$4)/'W1'!$D$5*'W1'!$D$5,0)))))))))</f>
        <v>0</v>
      </c>
      <c r="E349" s="300"/>
      <c r="F349" s="302" t="str">
        <f>IF('W1'!$E$5=0,"",IF($C$4=$D$4,(IF(AND('Pilot Project Budget'!$S$4="Multi",'Pilot Project Budget'!$R$4="FY"),ROUND(((1+'Pilot Project Budget'!$M29)^('W1'!$B$20+1)*'W1'!$E$9+(1+'Pilot Project Budget'!$M29)^('W1'!$B$20+3)*'W1'!$E$10)/'W1'!$E$5*'Pilot Project Budget'!$E29,0),(IF(AND('Pilot Project Budget'!$S$4="Multi",'Pilot Project Budget'!$R$4="PY"),ROUND('Pilot Project Budget'!$E29*((1+'Pilot Project Budget'!$M29)^2)/'W1'!$E$5*'W1'!$E$5,0),(IF(AND('Pilot Project Budget'!$S$4&lt;&gt;"Multi",'Pilot Project Budget'!$R$4="FY"),ROUND(((1+'Pilot Project Budget'!$S$4)^('W1'!$B$20+1)*'W1'!$E$9+(1+'Pilot Project Budget'!$S$4)^('W1'!$B$20+2)*'W1'!$E$10)/'W1'!$E$5*'Pilot Project Budget'!$E29,0),ROUND('Pilot Project Budget'!$E29*((1+'Pilot Project Budget'!$S$4)^2)/'W1'!$E$5*'W1'!$E$5,0))))))),(IF(AND('Pilot Project Budget'!$S$4="Multi",'Pilot Project Budget'!$R$4="FY"),ROUND(((1+'Pilot Project Budget'!$M29)^('W1'!$B$20+2)*'W1'!$E$9+(1+'Pilot Project Budget'!$M29)^('W1'!$B$20+3)*'W1'!$E$10)/'W1'!$E$5*'Pilot Project Budget'!$E29,0),(IF(AND('Pilot Project Budget'!$S$4="Multi",'Pilot Project Budget'!$R$4="PY"),ROUND('Pilot Project Budget'!$E29*((1+'Pilot Project Budget'!$M29)^2)/'W1'!$E$5*'W1'!$E$5,0),(IF(AND('Pilot Project Budget'!$S$4&lt;&gt;"Multi",'Pilot Project Budget'!$R$4="FY"),ROUND(((1+'Pilot Project Budget'!$S$4)^('W1'!$B$20+2)*'W1'!$E$9+(1+'Pilot Project Budget'!$S$4)^('W1'!$B$20+3)*'W1'!$E$10)/'W1'!$E$5*'Pilot Project Budget'!$E29,0),ROUND('Pilot Project Budget'!$E29*((1+'Pilot Project Budget'!$S$4)^2)/'W1'!$E$5*'W1'!$E$5,0)))))))))</f>
        <v/>
      </c>
      <c r="G349" s="300"/>
      <c r="H349" s="302" t="str">
        <f>IF('W1'!$F$5=0,"",IF($C$4=$D$4,(IF(AND('Pilot Project Budget'!$S$4="Multi",'Pilot Project Budget'!$R$4="FY"),ROUND(((1+'Pilot Project Budget'!$M29)^('W1'!$B$20+2)*'W1'!$F$9+(1+'Pilot Project Budget'!$M29)^('W1'!$B$20+3)*'W1'!$F$10)/'W1'!$F$5*'Pilot Project Budget'!$E29,0),(IF(AND('Pilot Project Budget'!$S$4="Multi",'Pilot Project Budget'!$R$4="PY"),ROUND('Pilot Project Budget'!$E29*((1+'Pilot Project Budget'!$M29)^3)/'W1'!$F$5*'W1'!$F$5,0),(IF(AND('Pilot Project Budget'!$S$4&lt;&gt;"Multi",'Pilot Project Budget'!$R$4="FY"),ROUND(((1+'Pilot Project Budget'!$S$4)^('W1'!$B$20+2)*'W1'!$F$9+(1+'Pilot Project Budget'!$S$4)^('W1'!$B$20+3)*'W1'!$F$10)/'W1'!$F$5*'Pilot Project Budget'!$E29,0),ROUND('Pilot Project Budget'!$E29*((1+'Pilot Project Budget'!$S$4)^3)/'W1'!$F$5*'W1'!$F$5,0))))))),(IF(AND('Pilot Project Budget'!$S$4="Multi",'Pilot Project Budget'!$R$4="FY"),ROUND(((1+'Pilot Project Budget'!$M29)^('W1'!$B$20+3)*'W1'!$F$9+(1+'Pilot Project Budget'!$M29)^('W1'!$B$20+4)*'W1'!$F$10)/'W1'!$F$5*'Pilot Project Budget'!$E29,0),(IF(AND('Pilot Project Budget'!$S$4="Multi",'Pilot Project Budget'!$R$4="PY"),ROUND('Pilot Project Budget'!$E29*((1+'Pilot Project Budget'!$M29)^3)/'W1'!$F$5*'W1'!$F$5,0),(IF(AND('Pilot Project Budget'!$S$4&lt;&gt;"Multi",'Pilot Project Budget'!$R$4="FY"),ROUND(((1+'Pilot Project Budget'!$S$4)^('W1'!$B$20+3)*'W1'!$F$9+(1+'Pilot Project Budget'!$S$4)^('W1'!$B$20+4)*'W1'!$F$10)/'W1'!$F$5*'Pilot Project Budget'!$E29,0),ROUND('Pilot Project Budget'!$E29*((1+'Pilot Project Budget'!$S$4)^3)/'W1'!$F$5*'W1'!$F$5,0)))))))))</f>
        <v/>
      </c>
      <c r="I349" s="300"/>
      <c r="J349" s="302" t="str">
        <f>IF('W1'!$G$5=0,"",IF($C$4=$D$4,(IF(AND('Pilot Project Budget'!$S$4="Multi",'Pilot Project Budget'!$R$4="FY"),ROUND(((1+'Pilot Project Budget'!$M29)^('W1'!$B$20+3)*'W1'!$G$9+(1+'Pilot Project Budget'!$M29)^('W1'!$B$20+4)*'W1'!$G$10)/'W1'!$G$5*'Pilot Project Budget'!$E29,0),(IF(AND('Pilot Project Budget'!$S$4="Multi",'Pilot Project Budget'!$R$4="PY"),ROUND('Pilot Project Budget'!$E29*((1+'Pilot Project Budget'!$M29)^4)/'W1'!$G$5*'W1'!$G$5,0),(IF(AND('Pilot Project Budget'!$S$4&lt;&gt;"Multi",'Pilot Project Budget'!$R$4="FY"),ROUND(((1+'Pilot Project Budget'!$S$4)^('W1'!$B$20+3)*'W1'!$G$9+(1+'Pilot Project Budget'!$S$4)^('W1'!$B$20+4)*'W1'!$G$10)/'W1'!$G$5*'Pilot Project Budget'!$E29,0),ROUND('Pilot Project Budget'!$E29*((1+'Pilot Project Budget'!$S$4)^4)/'W1'!$G$5*'W1'!$G$5,0))))))),(IF(AND('Pilot Project Budget'!$S$4="Multi",'Pilot Project Budget'!$R$4="FY"),ROUND(((1+'Pilot Project Budget'!$M29)^('W1'!$B$20+4)*'W1'!$G$9+(1+'Pilot Project Budget'!$M29)^('W1'!$B$20+5)*'W1'!$G$10)/'W1'!$G$5*'Pilot Project Budget'!$E29,0),(IF(AND('Pilot Project Budget'!$S$4="Multi",'Pilot Project Budget'!$R$4="PY"),ROUND('Pilot Project Budget'!$E29*((1+'Pilot Project Budget'!$M29)^4)/'W1'!$G$5*'W1'!$G$5,0),(IF(AND('Pilot Project Budget'!$S$4&lt;&gt;"Multi",'Pilot Project Budget'!$R$4="FY"),ROUND(((1+'Pilot Project Budget'!$S$4)^('W1'!$B$20+4)*'W1'!$G$9+(1+'Pilot Project Budget'!$S$4)^('W1'!$B$20+5)*'W1'!$G$10)/'W1'!$G$5*'Pilot Project Budget'!$E29,0),ROUND('Pilot Project Budget'!$E29*((1+'Pilot Project Budget'!$S$4)^4)/'W1'!$G$5*'W1'!$G$5,0)))))))))</f>
        <v/>
      </c>
      <c r="K349" s="300"/>
    </row>
    <row r="350" spans="1:11" x14ac:dyDescent="0.2">
      <c r="A350" s="82" t="e">
        <f>#REF!</f>
        <v>#REF!</v>
      </c>
      <c r="B350" s="302">
        <f>IF('W1'!$C$5=0,"",IF(AND('Pilot Project Budget'!$S$4="Multi",'Pilot Project Budget'!$R$4="FY"),ROUND(((1+'Pilot Project Budget'!$M30)^'W1'!$B$20*'W1'!$C$9+(1+'Pilot Project Budget'!$M30)^('W1'!$B$20+1)*'W1'!$C$10)/('W1'!$C$5)*'Pilot Project Budget'!$E30,0),(IF(AND('Pilot Project Budget'!$S$4="Multi",'Pilot Project Budget'!$R$4="PY"),ROUND('Pilot Project Budget'!$E30/('W1'!$C$5)*'W1'!$C$5,0),(IF(AND('Pilot Project Budget'!$S$4&lt;&gt;"Multi",'Pilot Project Budget'!$R$4="FY"),ROUND(((1+'Pilot Project Budget'!$S$4)^'W1'!$B$20*'W1'!$C$9+(1+'Pilot Project Budget'!$S$4)^('W1'!$B$20+1)*'W1'!$C$10)/'W1'!$C$5*'Pilot Project Budget'!$E30,0),ROUND('Pilot Project Budget'!$E30/'W1'!$C$5*'W1'!$C$5,0)))))))</f>
        <v>0</v>
      </c>
      <c r="C350" s="300"/>
      <c r="D350" s="302">
        <f>IF('W1'!$D$5=0,"",IF($C$4=$D$4,(IF(AND('Pilot Project Budget'!$S$4="Multi",'Pilot Project Budget'!$R$4="FY"),ROUND(((1+'Pilot Project Budget'!$M30)^('W1'!$B$20)*'W1'!$D$9+(1+'Pilot Project Budget'!$M30)^('W1'!$B$20+1)*'W1'!$D$10)/'W1'!$D$5*'Pilot Project Budget'!$E30,0),(IF(AND('Pilot Project Budget'!$S$4="Multi",'Pilot Project Budget'!$R$4="PY"),ROUND('Pilot Project Budget'!$E30*(1+'Pilot Project Budget'!$M30)/'W1'!$D$5*'W1'!$D$5,0),(IF(AND('Pilot Project Budget'!$S$4&lt;&gt;"Multi",'Pilot Project Budget'!$R$4="FY"),ROUND(((1+'Pilot Project Budget'!$S$4)^('W1'!$B$20)*'W1'!$D$9+(1+'Pilot Project Budget'!$S$4)^('W1'!$B$20+1)*'W1'!$D$10)/'W1'!$D$5*'Pilot Project Budget'!$E30,0),ROUND('Pilot Project Budget'!$E30*(1+'Pilot Project Budget'!$S$4)/'W1'!$D$5*'W1'!$D$5,0))))))),(IF(AND('Pilot Project Budget'!$S$4="Multi",'Pilot Project Budget'!$R$4="FY"),ROUND(((1+'Pilot Project Budget'!$M30)^('W1'!$B$20+1)*'W1'!$D$9+(1+'Pilot Project Budget'!$M30)^('W1'!$B$20+2)*'W1'!$D$10)/'W1'!$D$5*'Pilot Project Budget'!$E30,0),(IF(AND('Pilot Project Budget'!$S$4="Multi",'Pilot Project Budget'!$R$4="PY"),ROUND('Pilot Project Budget'!$E30*(1+'Pilot Project Budget'!$M30)/'W1'!$D$5*'W1'!$D$5,0),(IF(AND('Pilot Project Budget'!$S$4&lt;&gt;"Multi",'Pilot Project Budget'!$R$4="FY"),ROUND(((1+'Pilot Project Budget'!$S$4)^('W1'!$B$20+1)*'W1'!$D$9+(1+'Pilot Project Budget'!$S$4)^('W1'!$B$20+2)*'W1'!$D$10)/'W1'!$D$5*'Pilot Project Budget'!$E30,0),ROUND('Pilot Project Budget'!$E30*(1+'Pilot Project Budget'!$S$4)/'W1'!$D$5*'W1'!$D$5,0)))))))))</f>
        <v>0</v>
      </c>
      <c r="E350" s="300"/>
      <c r="F350" s="302" t="str">
        <f>IF('W1'!$E$5=0,"",IF($C$4=$D$4,(IF(AND('Pilot Project Budget'!$S$4="Multi",'Pilot Project Budget'!$R$4="FY"),ROUND(((1+'Pilot Project Budget'!$M30)^('W1'!$B$20+1)*'W1'!$E$9+(1+'Pilot Project Budget'!$M30)^('W1'!$B$20+3)*'W1'!$E$10)/'W1'!$E$5*'Pilot Project Budget'!$E30,0),(IF(AND('Pilot Project Budget'!$S$4="Multi",'Pilot Project Budget'!$R$4="PY"),ROUND('Pilot Project Budget'!$E30*((1+'Pilot Project Budget'!$M30)^2)/'W1'!$E$5*'W1'!$E$5,0),(IF(AND('Pilot Project Budget'!$S$4&lt;&gt;"Multi",'Pilot Project Budget'!$R$4="FY"),ROUND(((1+'Pilot Project Budget'!$S$4)^('W1'!$B$20+1)*'W1'!$E$9+(1+'Pilot Project Budget'!$S$4)^('W1'!$B$20+2)*'W1'!$E$10)/'W1'!$E$5*'Pilot Project Budget'!$E30,0),ROUND('Pilot Project Budget'!$E30*((1+'Pilot Project Budget'!$S$4)^2)/'W1'!$E$5*'W1'!$E$5,0))))))),(IF(AND('Pilot Project Budget'!$S$4="Multi",'Pilot Project Budget'!$R$4="FY"),ROUND(((1+'Pilot Project Budget'!$M30)^('W1'!$B$20+2)*'W1'!$E$9+(1+'Pilot Project Budget'!$M30)^('W1'!$B$20+3)*'W1'!$E$10)/'W1'!$E$5*'Pilot Project Budget'!$E30,0),(IF(AND('Pilot Project Budget'!$S$4="Multi",'Pilot Project Budget'!$R$4="PY"),ROUND('Pilot Project Budget'!$E30*((1+'Pilot Project Budget'!$M30)^2)/'W1'!$E$5*'W1'!$E$5,0),(IF(AND('Pilot Project Budget'!$S$4&lt;&gt;"Multi",'Pilot Project Budget'!$R$4="FY"),ROUND(((1+'Pilot Project Budget'!$S$4)^('W1'!$B$20+2)*'W1'!$E$9+(1+'Pilot Project Budget'!$S$4)^('W1'!$B$20+3)*'W1'!$E$10)/'W1'!$E$5*'Pilot Project Budget'!$E30,0),ROUND('Pilot Project Budget'!$E30*((1+'Pilot Project Budget'!$S$4)^2)/'W1'!$E$5*'W1'!$E$5,0)))))))))</f>
        <v/>
      </c>
      <c r="G350" s="300"/>
      <c r="H350" s="302" t="str">
        <f>IF('W1'!$F$5=0,"",IF($C$4=$D$4,(IF(AND('Pilot Project Budget'!$S$4="Multi",'Pilot Project Budget'!$R$4="FY"),ROUND(((1+'Pilot Project Budget'!$M30)^('W1'!$B$20+2)*'W1'!$F$9+(1+'Pilot Project Budget'!$M30)^('W1'!$B$20+3)*'W1'!$F$10)/'W1'!$F$5*'Pilot Project Budget'!$E30,0),(IF(AND('Pilot Project Budget'!$S$4="Multi",'Pilot Project Budget'!$R$4="PY"),ROUND('Pilot Project Budget'!$E30*((1+'Pilot Project Budget'!$M30)^3)/'W1'!$F$5*'W1'!$F$5,0),(IF(AND('Pilot Project Budget'!$S$4&lt;&gt;"Multi",'Pilot Project Budget'!$R$4="FY"),ROUND(((1+'Pilot Project Budget'!$S$4)^('W1'!$B$20+2)*'W1'!$F$9+(1+'Pilot Project Budget'!$S$4)^('W1'!$B$20+3)*'W1'!$F$10)/'W1'!$F$5*'Pilot Project Budget'!$E30,0),ROUND('Pilot Project Budget'!$E30*((1+'Pilot Project Budget'!$S$4)^3)/'W1'!$F$5*'W1'!$F$5,0))))))),(IF(AND('Pilot Project Budget'!$S$4="Multi",'Pilot Project Budget'!$R$4="FY"),ROUND(((1+'Pilot Project Budget'!$M30)^('W1'!$B$20+3)*'W1'!$F$9+(1+'Pilot Project Budget'!$M30)^('W1'!$B$20+4)*'W1'!$F$10)/'W1'!$F$5*'Pilot Project Budget'!$E30,0),(IF(AND('Pilot Project Budget'!$S$4="Multi",'Pilot Project Budget'!$R$4="PY"),ROUND('Pilot Project Budget'!$E30*((1+'Pilot Project Budget'!$M30)^3)/'W1'!$F$5*'W1'!$F$5,0),(IF(AND('Pilot Project Budget'!$S$4&lt;&gt;"Multi",'Pilot Project Budget'!$R$4="FY"),ROUND(((1+'Pilot Project Budget'!$S$4)^('W1'!$B$20+3)*'W1'!$F$9+(1+'Pilot Project Budget'!$S$4)^('W1'!$B$20+4)*'W1'!$F$10)/'W1'!$F$5*'Pilot Project Budget'!$E30,0),ROUND('Pilot Project Budget'!$E30*((1+'Pilot Project Budget'!$S$4)^3)/'W1'!$F$5*'W1'!$F$5,0)))))))))</f>
        <v/>
      </c>
      <c r="I350" s="300"/>
      <c r="J350" s="302" t="str">
        <f>IF('W1'!$G$5=0,"",IF($C$4=$D$4,(IF(AND('Pilot Project Budget'!$S$4="Multi",'Pilot Project Budget'!$R$4="FY"),ROUND(((1+'Pilot Project Budget'!$M30)^('W1'!$B$20+3)*'W1'!$G$9+(1+'Pilot Project Budget'!$M30)^('W1'!$B$20+4)*'W1'!$G$10)/'W1'!$G$5*'Pilot Project Budget'!$E30,0),(IF(AND('Pilot Project Budget'!$S$4="Multi",'Pilot Project Budget'!$R$4="PY"),ROUND('Pilot Project Budget'!$E30*((1+'Pilot Project Budget'!$M30)^4)/'W1'!$G$5*'W1'!$G$5,0),(IF(AND('Pilot Project Budget'!$S$4&lt;&gt;"Multi",'Pilot Project Budget'!$R$4="FY"),ROUND(((1+'Pilot Project Budget'!$S$4)^('W1'!$B$20+3)*'W1'!$G$9+(1+'Pilot Project Budget'!$S$4)^('W1'!$B$20+4)*'W1'!$G$10)/'W1'!$G$5*'Pilot Project Budget'!$E30,0),ROUND('Pilot Project Budget'!$E30*((1+'Pilot Project Budget'!$S$4)^4)/'W1'!$G$5*'W1'!$G$5,0))))))),(IF(AND('Pilot Project Budget'!$S$4="Multi",'Pilot Project Budget'!$R$4="FY"),ROUND(((1+'Pilot Project Budget'!$M30)^('W1'!$B$20+4)*'W1'!$G$9+(1+'Pilot Project Budget'!$M30)^('W1'!$B$20+5)*'W1'!$G$10)/'W1'!$G$5*'Pilot Project Budget'!$E30,0),(IF(AND('Pilot Project Budget'!$S$4="Multi",'Pilot Project Budget'!$R$4="PY"),ROUND('Pilot Project Budget'!$E30*((1+'Pilot Project Budget'!$M30)^4)/'W1'!$G$5*'W1'!$G$5,0),(IF(AND('Pilot Project Budget'!$S$4&lt;&gt;"Multi",'Pilot Project Budget'!$R$4="FY"),ROUND(((1+'Pilot Project Budget'!$S$4)^('W1'!$B$20+4)*'W1'!$G$9+(1+'Pilot Project Budget'!$S$4)^('W1'!$B$20+5)*'W1'!$G$10)/'W1'!$G$5*'Pilot Project Budget'!$E30,0),ROUND('Pilot Project Budget'!$E30*((1+'Pilot Project Budget'!$S$4)^4)/'W1'!$G$5*'W1'!$G$5,0)))))))))</f>
        <v/>
      </c>
      <c r="K350" s="300"/>
    </row>
    <row r="351" spans="1:11" x14ac:dyDescent="0.2">
      <c r="A351" s="82" t="e">
        <f>#REF!</f>
        <v>#REF!</v>
      </c>
      <c r="B351" s="302">
        <f>IF('W1'!$C$5=0,"",IF(AND('Pilot Project Budget'!$S$4="Multi",'Pilot Project Budget'!$R$4="FY"),ROUND(((1+'Pilot Project Budget'!$M31)^'W1'!$B$20*'W1'!$C$9+(1+'Pilot Project Budget'!$M31)^('W1'!$B$20+1)*'W1'!$C$10)/('W1'!$C$5)*'Pilot Project Budget'!$E31,0),(IF(AND('Pilot Project Budget'!$S$4="Multi",'Pilot Project Budget'!$R$4="PY"),ROUND('Pilot Project Budget'!$E31/('W1'!$C$5)*'W1'!$C$5,0),(IF(AND('Pilot Project Budget'!$S$4&lt;&gt;"Multi",'Pilot Project Budget'!$R$4="FY"),ROUND(((1+'Pilot Project Budget'!$S$4)^'W1'!$B$20*'W1'!$C$9+(1+'Pilot Project Budget'!$S$4)^('W1'!$B$20+1)*'W1'!$C$10)/'W1'!$C$5*'Pilot Project Budget'!$E31,0),ROUND('Pilot Project Budget'!$E31/'W1'!$C$5*'W1'!$C$5,0)))))))</f>
        <v>0</v>
      </c>
      <c r="C351" s="300"/>
      <c r="D351" s="302">
        <f>IF('W1'!$D$5=0,"",IF($C$4=$D$4,(IF(AND('Pilot Project Budget'!$S$4="Multi",'Pilot Project Budget'!$R$4="FY"),ROUND(((1+'Pilot Project Budget'!$M31)^('W1'!$B$20)*'W1'!$D$9+(1+'Pilot Project Budget'!$M31)^('W1'!$B$20+1)*'W1'!$D$10)/'W1'!$D$5*'Pilot Project Budget'!$E31,0),(IF(AND('Pilot Project Budget'!$S$4="Multi",'Pilot Project Budget'!$R$4="PY"),ROUND('Pilot Project Budget'!$E31*(1+'Pilot Project Budget'!$M31)/'W1'!$D$5*'W1'!$D$5,0),(IF(AND('Pilot Project Budget'!$S$4&lt;&gt;"Multi",'Pilot Project Budget'!$R$4="FY"),ROUND(((1+'Pilot Project Budget'!$S$4)^('W1'!$B$20)*'W1'!$D$9+(1+'Pilot Project Budget'!$S$4)^('W1'!$B$20+1)*'W1'!$D$10)/'W1'!$D$5*'Pilot Project Budget'!$E31,0),ROUND('Pilot Project Budget'!$E31*(1+'Pilot Project Budget'!$S$4)/'W1'!$D$5*'W1'!$D$5,0))))))),(IF(AND('Pilot Project Budget'!$S$4="Multi",'Pilot Project Budget'!$R$4="FY"),ROUND(((1+'Pilot Project Budget'!$M31)^('W1'!$B$20+1)*'W1'!$D$9+(1+'Pilot Project Budget'!$M31)^('W1'!$B$20+2)*'W1'!$D$10)/'W1'!$D$5*'Pilot Project Budget'!$E31,0),(IF(AND('Pilot Project Budget'!$S$4="Multi",'Pilot Project Budget'!$R$4="PY"),ROUND('Pilot Project Budget'!$E31*(1+'Pilot Project Budget'!$M31)/'W1'!$D$5*'W1'!$D$5,0),(IF(AND('Pilot Project Budget'!$S$4&lt;&gt;"Multi",'Pilot Project Budget'!$R$4="FY"),ROUND(((1+'Pilot Project Budget'!$S$4)^('W1'!$B$20+1)*'W1'!$D$9+(1+'Pilot Project Budget'!$S$4)^('W1'!$B$20+2)*'W1'!$D$10)/'W1'!$D$5*'Pilot Project Budget'!$E31,0),ROUND('Pilot Project Budget'!$E31*(1+'Pilot Project Budget'!$S$4)/'W1'!$D$5*'W1'!$D$5,0)))))))))</f>
        <v>0</v>
      </c>
      <c r="E351" s="300"/>
      <c r="F351" s="302" t="str">
        <f>IF('W1'!$E$5=0,"",IF($C$4=$D$4,(IF(AND('Pilot Project Budget'!$S$4="Multi",'Pilot Project Budget'!$R$4="FY"),ROUND(((1+'Pilot Project Budget'!$M31)^('W1'!$B$20+1)*'W1'!$E$9+(1+'Pilot Project Budget'!$M31)^('W1'!$B$20+3)*'W1'!$E$10)/'W1'!$E$5*'Pilot Project Budget'!$E31,0),(IF(AND('Pilot Project Budget'!$S$4="Multi",'Pilot Project Budget'!$R$4="PY"),ROUND('Pilot Project Budget'!$E31*((1+'Pilot Project Budget'!$M31)^2)/'W1'!$E$5*'W1'!$E$5,0),(IF(AND('Pilot Project Budget'!$S$4&lt;&gt;"Multi",'Pilot Project Budget'!$R$4="FY"),ROUND(((1+'Pilot Project Budget'!$S$4)^('W1'!$B$20+1)*'W1'!$E$9+(1+'Pilot Project Budget'!$S$4)^('W1'!$B$20+2)*'W1'!$E$10)/'W1'!$E$5*'Pilot Project Budget'!$E31,0),ROUND('Pilot Project Budget'!$E31*((1+'Pilot Project Budget'!$S$4)^2)/'W1'!$E$5*'W1'!$E$5,0))))))),(IF(AND('Pilot Project Budget'!$S$4="Multi",'Pilot Project Budget'!$R$4="FY"),ROUND(((1+'Pilot Project Budget'!$M31)^('W1'!$B$20+2)*'W1'!$E$9+(1+'Pilot Project Budget'!$M31)^('W1'!$B$20+3)*'W1'!$E$10)/'W1'!$E$5*'Pilot Project Budget'!$E31,0),(IF(AND('Pilot Project Budget'!$S$4="Multi",'Pilot Project Budget'!$R$4="PY"),ROUND('Pilot Project Budget'!$E31*((1+'Pilot Project Budget'!$M31)^2)/'W1'!$E$5*'W1'!$E$5,0),(IF(AND('Pilot Project Budget'!$S$4&lt;&gt;"Multi",'Pilot Project Budget'!$R$4="FY"),ROUND(((1+'Pilot Project Budget'!$S$4)^('W1'!$B$20+2)*'W1'!$E$9+(1+'Pilot Project Budget'!$S$4)^('W1'!$B$20+3)*'W1'!$E$10)/'W1'!$E$5*'Pilot Project Budget'!$E31,0),ROUND('Pilot Project Budget'!$E31*((1+'Pilot Project Budget'!$S$4)^2)/'W1'!$E$5*'W1'!$E$5,0)))))))))</f>
        <v/>
      </c>
      <c r="G351" s="300"/>
      <c r="H351" s="302" t="str">
        <f>IF('W1'!$F$5=0,"",IF($C$4=$D$4,(IF(AND('Pilot Project Budget'!$S$4="Multi",'Pilot Project Budget'!$R$4="FY"),ROUND(((1+'Pilot Project Budget'!$M31)^('W1'!$B$20+2)*'W1'!$F$9+(1+'Pilot Project Budget'!$M31)^('W1'!$B$20+3)*'W1'!$F$10)/'W1'!$F$5*'Pilot Project Budget'!$E31,0),(IF(AND('Pilot Project Budget'!$S$4="Multi",'Pilot Project Budget'!$R$4="PY"),ROUND('Pilot Project Budget'!$E31*((1+'Pilot Project Budget'!$M31)^3)/'W1'!$F$5*'W1'!$F$5,0),(IF(AND('Pilot Project Budget'!$S$4&lt;&gt;"Multi",'Pilot Project Budget'!$R$4="FY"),ROUND(((1+'Pilot Project Budget'!$S$4)^('W1'!$B$20+2)*'W1'!$F$9+(1+'Pilot Project Budget'!$S$4)^('W1'!$B$20+3)*'W1'!$F$10)/'W1'!$F$5*'Pilot Project Budget'!$E31,0),ROUND('Pilot Project Budget'!$E31*((1+'Pilot Project Budget'!$S$4)^3)/'W1'!$F$5*'W1'!$F$5,0))))))),(IF(AND('Pilot Project Budget'!$S$4="Multi",'Pilot Project Budget'!$R$4="FY"),ROUND(((1+'Pilot Project Budget'!$M31)^('W1'!$B$20+3)*'W1'!$F$9+(1+'Pilot Project Budget'!$M31)^('W1'!$B$20+4)*'W1'!$F$10)/'W1'!$F$5*'Pilot Project Budget'!$E31,0),(IF(AND('Pilot Project Budget'!$S$4="Multi",'Pilot Project Budget'!$R$4="PY"),ROUND('Pilot Project Budget'!$E31*((1+'Pilot Project Budget'!$M31)^3)/'W1'!$F$5*'W1'!$F$5,0),(IF(AND('Pilot Project Budget'!$S$4&lt;&gt;"Multi",'Pilot Project Budget'!$R$4="FY"),ROUND(((1+'Pilot Project Budget'!$S$4)^('W1'!$B$20+3)*'W1'!$F$9+(1+'Pilot Project Budget'!$S$4)^('W1'!$B$20+4)*'W1'!$F$10)/'W1'!$F$5*'Pilot Project Budget'!$E31,0),ROUND('Pilot Project Budget'!$E31*((1+'Pilot Project Budget'!$S$4)^3)/'W1'!$F$5*'W1'!$F$5,0)))))))))</f>
        <v/>
      </c>
      <c r="I351" s="300"/>
      <c r="J351" s="302" t="str">
        <f>IF('W1'!$G$5=0,"",IF($C$4=$D$4,(IF(AND('Pilot Project Budget'!$S$4="Multi",'Pilot Project Budget'!$R$4="FY"),ROUND(((1+'Pilot Project Budget'!$M31)^('W1'!$B$20+3)*'W1'!$G$9+(1+'Pilot Project Budget'!$M31)^('W1'!$B$20+4)*'W1'!$G$10)/'W1'!$G$5*'Pilot Project Budget'!$E31,0),(IF(AND('Pilot Project Budget'!$S$4="Multi",'Pilot Project Budget'!$R$4="PY"),ROUND('Pilot Project Budget'!$E31*((1+'Pilot Project Budget'!$M31)^4)/'W1'!$G$5*'W1'!$G$5,0),(IF(AND('Pilot Project Budget'!$S$4&lt;&gt;"Multi",'Pilot Project Budget'!$R$4="FY"),ROUND(((1+'Pilot Project Budget'!$S$4)^('W1'!$B$20+3)*'W1'!$G$9+(1+'Pilot Project Budget'!$S$4)^('W1'!$B$20+4)*'W1'!$G$10)/'W1'!$G$5*'Pilot Project Budget'!$E31,0),ROUND('Pilot Project Budget'!$E31*((1+'Pilot Project Budget'!$S$4)^4)/'W1'!$G$5*'W1'!$G$5,0))))))),(IF(AND('Pilot Project Budget'!$S$4="Multi",'Pilot Project Budget'!$R$4="FY"),ROUND(((1+'Pilot Project Budget'!$M31)^('W1'!$B$20+4)*'W1'!$G$9+(1+'Pilot Project Budget'!$M31)^('W1'!$B$20+5)*'W1'!$G$10)/'W1'!$G$5*'Pilot Project Budget'!$E31,0),(IF(AND('Pilot Project Budget'!$S$4="Multi",'Pilot Project Budget'!$R$4="PY"),ROUND('Pilot Project Budget'!$E31*((1+'Pilot Project Budget'!$M31)^4)/'W1'!$G$5*'W1'!$G$5,0),(IF(AND('Pilot Project Budget'!$S$4&lt;&gt;"Multi",'Pilot Project Budget'!$R$4="FY"),ROUND(((1+'Pilot Project Budget'!$S$4)^('W1'!$B$20+4)*'W1'!$G$9+(1+'Pilot Project Budget'!$S$4)^('W1'!$B$20+5)*'W1'!$G$10)/'W1'!$G$5*'Pilot Project Budget'!$E31,0),ROUND('Pilot Project Budget'!$E31*((1+'Pilot Project Budget'!$S$4)^4)/'W1'!$G$5*'W1'!$G$5,0)))))))))</f>
        <v/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>
        <f>IF(B328="","",ROUND(B328/12*9,0))</f>
        <v>0</v>
      </c>
      <c r="C354" s="300"/>
      <c r="D354" s="299">
        <f>IF(D328="","",ROUND(D328/12*9,0))</f>
        <v>0</v>
      </c>
      <c r="E354" s="300"/>
      <c r="F354" s="299" t="str">
        <f>IF(F328="","",ROUND(F328/12*9,0))</f>
        <v/>
      </c>
      <c r="G354" s="300"/>
      <c r="H354" s="299" t="str">
        <f>IF(H328="","",ROUND(H328/12*9,0))</f>
        <v/>
      </c>
      <c r="I354" s="300"/>
      <c r="J354" s="299" t="str">
        <f>IF(J328="","",ROUND(J328/12*9,0))</f>
        <v/>
      </c>
      <c r="K354" s="300"/>
    </row>
    <row r="355" spans="1:11" x14ac:dyDescent="0.2">
      <c r="A355" s="82"/>
      <c r="B355" s="299">
        <f t="shared" ref="B355:B377" si="78">IF(B329="","",ROUND(B329/12*9,0))</f>
        <v>0</v>
      </c>
      <c r="C355" s="300"/>
      <c r="D355" s="299">
        <f t="shared" ref="D355:D377" si="79">IF(D329="","",ROUND(D329/12*9,0))</f>
        <v>0</v>
      </c>
      <c r="E355" s="300"/>
      <c r="F355" s="299" t="str">
        <f t="shared" ref="F355:F377" si="80">IF(F329="","",ROUND(F329/12*9,0))</f>
        <v/>
      </c>
      <c r="G355" s="300"/>
      <c r="H355" s="299" t="str">
        <f t="shared" ref="H355:H377" si="81">IF(H329="","",ROUND(H329/12*9,0))</f>
        <v/>
      </c>
      <c r="I355" s="300"/>
      <c r="J355" s="299" t="str">
        <f t="shared" ref="J355:J377" si="82">IF(J329="","",ROUND(J329/12*9,0))</f>
        <v/>
      </c>
      <c r="K355" s="300"/>
    </row>
    <row r="356" spans="1:11" x14ac:dyDescent="0.2">
      <c r="A356" s="82"/>
      <c r="B356" s="299">
        <f t="shared" si="78"/>
        <v>0</v>
      </c>
      <c r="C356" s="300"/>
      <c r="D356" s="299">
        <f t="shared" si="79"/>
        <v>0</v>
      </c>
      <c r="E356" s="300"/>
      <c r="F356" s="299" t="str">
        <f t="shared" si="80"/>
        <v/>
      </c>
      <c r="G356" s="300"/>
      <c r="H356" s="299" t="str">
        <f t="shared" si="81"/>
        <v/>
      </c>
      <c r="I356" s="300"/>
      <c r="J356" s="299" t="str">
        <f t="shared" si="82"/>
        <v/>
      </c>
      <c r="K356" s="300"/>
    </row>
    <row r="357" spans="1:11" x14ac:dyDescent="0.2">
      <c r="A357" s="82"/>
      <c r="B357" s="299">
        <f t="shared" si="78"/>
        <v>0</v>
      </c>
      <c r="C357" s="300"/>
      <c r="D357" s="299">
        <f t="shared" si="79"/>
        <v>0</v>
      </c>
      <c r="E357" s="300"/>
      <c r="F357" s="299" t="str">
        <f t="shared" si="80"/>
        <v/>
      </c>
      <c r="G357" s="300"/>
      <c r="H357" s="299" t="str">
        <f t="shared" si="81"/>
        <v/>
      </c>
      <c r="I357" s="300"/>
      <c r="J357" s="299" t="str">
        <f t="shared" si="82"/>
        <v/>
      </c>
      <c r="K357" s="300"/>
    </row>
    <row r="358" spans="1:11" x14ac:dyDescent="0.2">
      <c r="A358" s="82"/>
      <c r="B358" s="299">
        <f t="shared" si="78"/>
        <v>0</v>
      </c>
      <c r="C358" s="300"/>
      <c r="D358" s="299">
        <f t="shared" si="79"/>
        <v>0</v>
      </c>
      <c r="E358" s="300"/>
      <c r="F358" s="299" t="str">
        <f t="shared" si="80"/>
        <v/>
      </c>
      <c r="G358" s="300"/>
      <c r="H358" s="299" t="str">
        <f t="shared" si="81"/>
        <v/>
      </c>
      <c r="I358" s="300"/>
      <c r="J358" s="299" t="str">
        <f t="shared" si="82"/>
        <v/>
      </c>
      <c r="K358" s="300"/>
    </row>
    <row r="359" spans="1:11" x14ac:dyDescent="0.2">
      <c r="A359" s="82"/>
      <c r="B359" s="299">
        <f t="shared" si="78"/>
        <v>0</v>
      </c>
      <c r="C359" s="300"/>
      <c r="D359" s="299">
        <f t="shared" si="79"/>
        <v>0</v>
      </c>
      <c r="E359" s="300"/>
      <c r="F359" s="299" t="str">
        <f t="shared" si="80"/>
        <v/>
      </c>
      <c r="G359" s="300"/>
      <c r="H359" s="299" t="str">
        <f t="shared" si="81"/>
        <v/>
      </c>
      <c r="I359" s="300"/>
      <c r="J359" s="299" t="str">
        <f t="shared" si="82"/>
        <v/>
      </c>
      <c r="K359" s="300"/>
    </row>
    <row r="360" spans="1:11" x14ac:dyDescent="0.2">
      <c r="A360" s="82"/>
      <c r="B360" s="299">
        <f t="shared" si="78"/>
        <v>0</v>
      </c>
      <c r="C360" s="300"/>
      <c r="D360" s="299">
        <f t="shared" si="79"/>
        <v>0</v>
      </c>
      <c r="E360" s="300"/>
      <c r="F360" s="299" t="str">
        <f t="shared" si="80"/>
        <v/>
      </c>
      <c r="G360" s="300"/>
      <c r="H360" s="299" t="str">
        <f t="shared" si="81"/>
        <v/>
      </c>
      <c r="I360" s="300"/>
      <c r="J360" s="299" t="str">
        <f t="shared" si="82"/>
        <v/>
      </c>
      <c r="K360" s="300"/>
    </row>
    <row r="361" spans="1:11" x14ac:dyDescent="0.2">
      <c r="A361" s="82"/>
      <c r="B361" s="299">
        <f t="shared" si="78"/>
        <v>0</v>
      </c>
      <c r="C361" s="300"/>
      <c r="D361" s="299">
        <f t="shared" si="79"/>
        <v>0</v>
      </c>
      <c r="E361" s="300"/>
      <c r="F361" s="299" t="str">
        <f t="shared" si="80"/>
        <v/>
      </c>
      <c r="G361" s="300"/>
      <c r="H361" s="299" t="str">
        <f t="shared" si="81"/>
        <v/>
      </c>
      <c r="I361" s="300"/>
      <c r="J361" s="299" t="str">
        <f t="shared" si="82"/>
        <v/>
      </c>
      <c r="K361" s="300"/>
    </row>
    <row r="362" spans="1:11" x14ac:dyDescent="0.2">
      <c r="A362" s="82"/>
      <c r="B362" s="299">
        <f t="shared" si="78"/>
        <v>0</v>
      </c>
      <c r="C362" s="300"/>
      <c r="D362" s="299">
        <f t="shared" si="79"/>
        <v>0</v>
      </c>
      <c r="E362" s="300"/>
      <c r="F362" s="299" t="str">
        <f t="shared" si="80"/>
        <v/>
      </c>
      <c r="G362" s="300"/>
      <c r="H362" s="299" t="str">
        <f t="shared" si="81"/>
        <v/>
      </c>
      <c r="I362" s="300"/>
      <c r="J362" s="299" t="str">
        <f t="shared" si="82"/>
        <v/>
      </c>
      <c r="K362" s="300"/>
    </row>
    <row r="363" spans="1:11" x14ac:dyDescent="0.2">
      <c r="A363" s="82"/>
      <c r="B363" s="299">
        <f t="shared" si="78"/>
        <v>0</v>
      </c>
      <c r="C363" s="300"/>
      <c r="D363" s="299">
        <f t="shared" si="79"/>
        <v>0</v>
      </c>
      <c r="E363" s="300"/>
      <c r="F363" s="299" t="str">
        <f t="shared" si="80"/>
        <v/>
      </c>
      <c r="G363" s="300"/>
      <c r="H363" s="299" t="str">
        <f t="shared" si="81"/>
        <v/>
      </c>
      <c r="I363" s="300"/>
      <c r="J363" s="299" t="str">
        <f t="shared" si="82"/>
        <v/>
      </c>
      <c r="K363" s="300"/>
    </row>
    <row r="364" spans="1:11" x14ac:dyDescent="0.2">
      <c r="A364" s="82"/>
      <c r="B364" s="299">
        <f t="shared" si="78"/>
        <v>0</v>
      </c>
      <c r="C364" s="300"/>
      <c r="D364" s="299">
        <f t="shared" si="79"/>
        <v>0</v>
      </c>
      <c r="E364" s="300"/>
      <c r="F364" s="299" t="str">
        <f t="shared" si="80"/>
        <v/>
      </c>
      <c r="G364" s="300"/>
      <c r="H364" s="299" t="str">
        <f t="shared" si="81"/>
        <v/>
      </c>
      <c r="I364" s="300"/>
      <c r="J364" s="299" t="str">
        <f t="shared" si="82"/>
        <v/>
      </c>
      <c r="K364" s="300"/>
    </row>
    <row r="365" spans="1:11" x14ac:dyDescent="0.2">
      <c r="A365" s="82"/>
      <c r="B365" s="299">
        <f t="shared" si="78"/>
        <v>0</v>
      </c>
      <c r="C365" s="300"/>
      <c r="D365" s="299">
        <f t="shared" si="79"/>
        <v>0</v>
      </c>
      <c r="E365" s="300"/>
      <c r="F365" s="299" t="str">
        <f t="shared" si="80"/>
        <v/>
      </c>
      <c r="G365" s="300"/>
      <c r="H365" s="299" t="str">
        <f t="shared" si="81"/>
        <v/>
      </c>
      <c r="I365" s="300"/>
      <c r="J365" s="299" t="str">
        <f t="shared" si="82"/>
        <v/>
      </c>
      <c r="K365" s="300"/>
    </row>
    <row r="366" spans="1:11" x14ac:dyDescent="0.2">
      <c r="A366" s="82"/>
      <c r="B366" s="299">
        <f t="shared" si="78"/>
        <v>0</v>
      </c>
      <c r="C366" s="300"/>
      <c r="D366" s="299">
        <f t="shared" si="79"/>
        <v>0</v>
      </c>
      <c r="E366" s="300"/>
      <c r="F366" s="299" t="str">
        <f t="shared" si="80"/>
        <v/>
      </c>
      <c r="G366" s="300"/>
      <c r="H366" s="299" t="str">
        <f t="shared" si="81"/>
        <v/>
      </c>
      <c r="I366" s="300"/>
      <c r="J366" s="299" t="str">
        <f t="shared" si="82"/>
        <v/>
      </c>
      <c r="K366" s="300"/>
    </row>
    <row r="367" spans="1:11" x14ac:dyDescent="0.2">
      <c r="A367" s="82"/>
      <c r="B367" s="299">
        <f t="shared" si="78"/>
        <v>0</v>
      </c>
      <c r="C367" s="300"/>
      <c r="D367" s="299">
        <f t="shared" si="79"/>
        <v>0</v>
      </c>
      <c r="E367" s="300"/>
      <c r="F367" s="299" t="str">
        <f t="shared" si="80"/>
        <v/>
      </c>
      <c r="G367" s="300"/>
      <c r="H367" s="299" t="str">
        <f t="shared" si="81"/>
        <v/>
      </c>
      <c r="I367" s="300"/>
      <c r="J367" s="299" t="str">
        <f t="shared" si="82"/>
        <v/>
      </c>
      <c r="K367" s="300"/>
    </row>
    <row r="368" spans="1:11" x14ac:dyDescent="0.2">
      <c r="A368" s="82"/>
      <c r="B368" s="299">
        <f t="shared" si="78"/>
        <v>0</v>
      </c>
      <c r="C368" s="300"/>
      <c r="D368" s="299">
        <f t="shared" si="79"/>
        <v>0</v>
      </c>
      <c r="E368" s="300"/>
      <c r="F368" s="299" t="str">
        <f t="shared" si="80"/>
        <v/>
      </c>
      <c r="G368" s="300"/>
      <c r="H368" s="299" t="str">
        <f t="shared" si="81"/>
        <v/>
      </c>
      <c r="I368" s="300"/>
      <c r="J368" s="299" t="str">
        <f t="shared" si="82"/>
        <v/>
      </c>
      <c r="K368" s="300"/>
    </row>
    <row r="369" spans="1:11" x14ac:dyDescent="0.2">
      <c r="A369" s="82"/>
      <c r="B369" s="299">
        <f t="shared" si="78"/>
        <v>0</v>
      </c>
      <c r="C369" s="300"/>
      <c r="D369" s="299">
        <f t="shared" si="79"/>
        <v>0</v>
      </c>
      <c r="E369" s="300"/>
      <c r="F369" s="299" t="str">
        <f t="shared" si="80"/>
        <v/>
      </c>
      <c r="G369" s="300"/>
      <c r="H369" s="299" t="str">
        <f t="shared" si="81"/>
        <v/>
      </c>
      <c r="I369" s="300"/>
      <c r="J369" s="299" t="str">
        <f t="shared" si="82"/>
        <v/>
      </c>
      <c r="K369" s="300"/>
    </row>
    <row r="370" spans="1:11" x14ac:dyDescent="0.2">
      <c r="A370" s="82"/>
      <c r="B370" s="299">
        <f t="shared" si="78"/>
        <v>0</v>
      </c>
      <c r="C370" s="300"/>
      <c r="D370" s="299">
        <f t="shared" si="79"/>
        <v>0</v>
      </c>
      <c r="E370" s="300"/>
      <c r="F370" s="299" t="str">
        <f t="shared" si="80"/>
        <v/>
      </c>
      <c r="G370" s="300"/>
      <c r="H370" s="299" t="str">
        <f t="shared" si="81"/>
        <v/>
      </c>
      <c r="I370" s="300"/>
      <c r="J370" s="299" t="str">
        <f t="shared" si="82"/>
        <v/>
      </c>
      <c r="K370" s="300"/>
    </row>
    <row r="371" spans="1:11" x14ac:dyDescent="0.2">
      <c r="A371" s="82"/>
      <c r="B371" s="299">
        <f t="shared" si="78"/>
        <v>0</v>
      </c>
      <c r="C371" s="300"/>
      <c r="D371" s="299">
        <f t="shared" si="79"/>
        <v>0</v>
      </c>
      <c r="E371" s="300"/>
      <c r="F371" s="299" t="str">
        <f t="shared" si="80"/>
        <v/>
      </c>
      <c r="G371" s="300"/>
      <c r="H371" s="299" t="str">
        <f t="shared" si="81"/>
        <v/>
      </c>
      <c r="I371" s="300"/>
      <c r="J371" s="299" t="str">
        <f t="shared" si="82"/>
        <v/>
      </c>
      <c r="K371" s="300"/>
    </row>
    <row r="372" spans="1:11" x14ac:dyDescent="0.2">
      <c r="A372" s="82"/>
      <c r="B372" s="299">
        <f t="shared" si="78"/>
        <v>0</v>
      </c>
      <c r="C372" s="300"/>
      <c r="D372" s="299">
        <f t="shared" si="79"/>
        <v>0</v>
      </c>
      <c r="E372" s="300"/>
      <c r="F372" s="299" t="str">
        <f t="shared" si="80"/>
        <v/>
      </c>
      <c r="G372" s="300"/>
      <c r="H372" s="299" t="str">
        <f t="shared" si="81"/>
        <v/>
      </c>
      <c r="I372" s="300"/>
      <c r="J372" s="299" t="str">
        <f t="shared" si="82"/>
        <v/>
      </c>
      <c r="K372" s="300"/>
    </row>
    <row r="373" spans="1:11" x14ac:dyDescent="0.2">
      <c r="A373" s="82"/>
      <c r="B373" s="299">
        <f t="shared" si="78"/>
        <v>0</v>
      </c>
      <c r="C373" s="300"/>
      <c r="D373" s="299">
        <f t="shared" si="79"/>
        <v>0</v>
      </c>
      <c r="E373" s="300"/>
      <c r="F373" s="299" t="str">
        <f t="shared" si="80"/>
        <v/>
      </c>
      <c r="G373" s="300"/>
      <c r="H373" s="299" t="str">
        <f t="shared" si="81"/>
        <v/>
      </c>
      <c r="I373" s="300"/>
      <c r="J373" s="299" t="str">
        <f t="shared" si="82"/>
        <v/>
      </c>
      <c r="K373" s="300"/>
    </row>
    <row r="374" spans="1:11" x14ac:dyDescent="0.2">
      <c r="A374" s="82"/>
      <c r="B374" s="299">
        <f t="shared" si="78"/>
        <v>0</v>
      </c>
      <c r="C374" s="300"/>
      <c r="D374" s="299">
        <f t="shared" si="79"/>
        <v>0</v>
      </c>
      <c r="E374" s="300"/>
      <c r="F374" s="299" t="str">
        <f t="shared" si="80"/>
        <v/>
      </c>
      <c r="G374" s="300"/>
      <c r="H374" s="299" t="str">
        <f t="shared" si="81"/>
        <v/>
      </c>
      <c r="I374" s="300"/>
      <c r="J374" s="299" t="str">
        <f t="shared" si="82"/>
        <v/>
      </c>
      <c r="K374" s="300"/>
    </row>
    <row r="375" spans="1:11" x14ac:dyDescent="0.2">
      <c r="A375" s="82"/>
      <c r="B375" s="299">
        <f t="shared" si="78"/>
        <v>0</v>
      </c>
      <c r="C375" s="300"/>
      <c r="D375" s="299">
        <f t="shared" si="79"/>
        <v>0</v>
      </c>
      <c r="E375" s="300"/>
      <c r="F375" s="299" t="str">
        <f t="shared" si="80"/>
        <v/>
      </c>
      <c r="G375" s="300"/>
      <c r="H375" s="299" t="str">
        <f t="shared" si="81"/>
        <v/>
      </c>
      <c r="I375" s="300"/>
      <c r="J375" s="299" t="str">
        <f t="shared" si="82"/>
        <v/>
      </c>
      <c r="K375" s="300"/>
    </row>
    <row r="376" spans="1:11" x14ac:dyDescent="0.2">
      <c r="A376" s="82"/>
      <c r="B376" s="299">
        <f t="shared" si="78"/>
        <v>0</v>
      </c>
      <c r="C376" s="300"/>
      <c r="D376" s="299">
        <f t="shared" si="79"/>
        <v>0</v>
      </c>
      <c r="E376" s="300"/>
      <c r="F376" s="299" t="str">
        <f t="shared" si="80"/>
        <v/>
      </c>
      <c r="G376" s="300"/>
      <c r="H376" s="299" t="str">
        <f t="shared" si="81"/>
        <v/>
      </c>
      <c r="I376" s="300"/>
      <c r="J376" s="299" t="str">
        <f t="shared" si="82"/>
        <v/>
      </c>
      <c r="K376" s="300"/>
    </row>
    <row r="377" spans="1:11" x14ac:dyDescent="0.2">
      <c r="A377" s="82"/>
      <c r="B377" s="299">
        <f t="shared" si="78"/>
        <v>0</v>
      </c>
      <c r="C377" s="300"/>
      <c r="D377" s="299">
        <f t="shared" si="79"/>
        <v>0</v>
      </c>
      <c r="E377" s="300"/>
      <c r="F377" s="299" t="str">
        <f t="shared" si="80"/>
        <v/>
      </c>
      <c r="G377" s="300"/>
      <c r="H377" s="299" t="str">
        <f t="shared" si="81"/>
        <v/>
      </c>
      <c r="I377" s="300"/>
      <c r="J377" s="299" t="str">
        <f t="shared" si="82"/>
        <v/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>
        <f>IF(B328="","",B328/12*11)</f>
        <v>0</v>
      </c>
      <c r="C380" s="300"/>
      <c r="D380" s="299">
        <f>IF(D328="","",D328/12*11)</f>
        <v>0</v>
      </c>
      <c r="E380" s="300"/>
      <c r="F380" s="299" t="str">
        <f>IF(F328="","",F328/12*11)</f>
        <v/>
      </c>
      <c r="G380" s="300"/>
      <c r="H380" s="299" t="str">
        <f>IF(H328="","",H328/12*11)</f>
        <v/>
      </c>
      <c r="I380" s="300"/>
      <c r="J380" s="299" t="str">
        <f>IF(J328="","",J328/12*11)</f>
        <v/>
      </c>
      <c r="K380" s="300"/>
    </row>
    <row r="381" spans="1:11" x14ac:dyDescent="0.2">
      <c r="A381" s="82"/>
      <c r="B381" s="299">
        <f t="shared" ref="B381:B403" si="83">IF(B329="","",B329/12*11)</f>
        <v>0</v>
      </c>
      <c r="C381" s="300"/>
      <c r="D381" s="299">
        <f t="shared" ref="D381:D403" si="84">IF(D329="","",D329/12*11)</f>
        <v>0</v>
      </c>
      <c r="E381" s="300"/>
      <c r="F381" s="299" t="str">
        <f t="shared" ref="F381:F403" si="85">IF(F329="","",F329/12*11)</f>
        <v/>
      </c>
      <c r="G381" s="300"/>
      <c r="H381" s="299" t="str">
        <f t="shared" ref="H381:H403" si="86">IF(H329="","",H329/12*11)</f>
        <v/>
      </c>
      <c r="I381" s="300"/>
      <c r="J381" s="299" t="str">
        <f t="shared" ref="J381:J403" si="87">IF(J329="","",J329/12*11)</f>
        <v/>
      </c>
      <c r="K381" s="300"/>
    </row>
    <row r="382" spans="1:11" x14ac:dyDescent="0.2">
      <c r="A382" s="82"/>
      <c r="B382" s="299">
        <f t="shared" si="83"/>
        <v>0</v>
      </c>
      <c r="C382" s="300"/>
      <c r="D382" s="299">
        <f t="shared" si="84"/>
        <v>0</v>
      </c>
      <c r="E382" s="300"/>
      <c r="F382" s="299" t="str">
        <f t="shared" si="85"/>
        <v/>
      </c>
      <c r="G382" s="300"/>
      <c r="H382" s="299" t="str">
        <f t="shared" si="86"/>
        <v/>
      </c>
      <c r="I382" s="300"/>
      <c r="J382" s="299" t="str">
        <f t="shared" si="87"/>
        <v/>
      </c>
      <c r="K382" s="300"/>
    </row>
    <row r="383" spans="1:11" x14ac:dyDescent="0.2">
      <c r="A383" s="82"/>
      <c r="B383" s="299">
        <f t="shared" si="83"/>
        <v>0</v>
      </c>
      <c r="C383" s="300"/>
      <c r="D383" s="299">
        <f t="shared" si="84"/>
        <v>0</v>
      </c>
      <c r="E383" s="300"/>
      <c r="F383" s="299" t="str">
        <f t="shared" si="85"/>
        <v/>
      </c>
      <c r="G383" s="300"/>
      <c r="H383" s="299" t="str">
        <f t="shared" si="86"/>
        <v/>
      </c>
      <c r="I383" s="300"/>
      <c r="J383" s="299" t="str">
        <f t="shared" si="87"/>
        <v/>
      </c>
      <c r="K383" s="300"/>
    </row>
    <row r="384" spans="1:11" x14ac:dyDescent="0.2">
      <c r="A384" s="82"/>
      <c r="B384" s="299">
        <f t="shared" si="83"/>
        <v>0</v>
      </c>
      <c r="C384" s="300"/>
      <c r="D384" s="299">
        <f t="shared" si="84"/>
        <v>0</v>
      </c>
      <c r="E384" s="300"/>
      <c r="F384" s="299" t="str">
        <f t="shared" si="85"/>
        <v/>
      </c>
      <c r="G384" s="300"/>
      <c r="H384" s="299" t="str">
        <f t="shared" si="86"/>
        <v/>
      </c>
      <c r="I384" s="300"/>
      <c r="J384" s="299" t="str">
        <f t="shared" si="87"/>
        <v/>
      </c>
      <c r="K384" s="300"/>
    </row>
    <row r="385" spans="1:11" x14ac:dyDescent="0.2">
      <c r="A385" s="82"/>
      <c r="B385" s="299">
        <f t="shared" si="83"/>
        <v>0</v>
      </c>
      <c r="C385" s="300"/>
      <c r="D385" s="299">
        <f t="shared" si="84"/>
        <v>0</v>
      </c>
      <c r="E385" s="300"/>
      <c r="F385" s="299" t="str">
        <f t="shared" si="85"/>
        <v/>
      </c>
      <c r="G385" s="300"/>
      <c r="H385" s="299" t="str">
        <f t="shared" si="86"/>
        <v/>
      </c>
      <c r="I385" s="300"/>
      <c r="J385" s="299" t="str">
        <f t="shared" si="87"/>
        <v/>
      </c>
      <c r="K385" s="300"/>
    </row>
    <row r="386" spans="1:11" x14ac:dyDescent="0.2">
      <c r="A386" s="82"/>
      <c r="B386" s="299">
        <f t="shared" si="83"/>
        <v>0</v>
      </c>
      <c r="C386" s="300"/>
      <c r="D386" s="299">
        <f t="shared" si="84"/>
        <v>0</v>
      </c>
      <c r="E386" s="300"/>
      <c r="F386" s="299" t="str">
        <f t="shared" si="85"/>
        <v/>
      </c>
      <c r="G386" s="300"/>
      <c r="H386" s="299" t="str">
        <f t="shared" si="86"/>
        <v/>
      </c>
      <c r="I386" s="300"/>
      <c r="J386" s="299" t="str">
        <f t="shared" si="87"/>
        <v/>
      </c>
      <c r="K386" s="300"/>
    </row>
    <row r="387" spans="1:11" x14ac:dyDescent="0.2">
      <c r="A387" s="82"/>
      <c r="B387" s="299">
        <f t="shared" si="83"/>
        <v>0</v>
      </c>
      <c r="C387" s="300"/>
      <c r="D387" s="299">
        <f t="shared" si="84"/>
        <v>0</v>
      </c>
      <c r="E387" s="300"/>
      <c r="F387" s="299" t="str">
        <f t="shared" si="85"/>
        <v/>
      </c>
      <c r="G387" s="300"/>
      <c r="H387" s="299" t="str">
        <f t="shared" si="86"/>
        <v/>
      </c>
      <c r="I387" s="300"/>
      <c r="J387" s="299" t="str">
        <f t="shared" si="87"/>
        <v/>
      </c>
      <c r="K387" s="300"/>
    </row>
    <row r="388" spans="1:11" x14ac:dyDescent="0.2">
      <c r="A388" s="82"/>
      <c r="B388" s="299">
        <f t="shared" si="83"/>
        <v>0</v>
      </c>
      <c r="C388" s="300"/>
      <c r="D388" s="299">
        <f t="shared" si="84"/>
        <v>0</v>
      </c>
      <c r="E388" s="300"/>
      <c r="F388" s="299" t="str">
        <f t="shared" si="85"/>
        <v/>
      </c>
      <c r="G388" s="300"/>
      <c r="H388" s="299" t="str">
        <f t="shared" si="86"/>
        <v/>
      </c>
      <c r="I388" s="300"/>
      <c r="J388" s="299" t="str">
        <f t="shared" si="87"/>
        <v/>
      </c>
      <c r="K388" s="300"/>
    </row>
    <row r="389" spans="1:11" x14ac:dyDescent="0.2">
      <c r="A389" s="82"/>
      <c r="B389" s="299">
        <f t="shared" si="83"/>
        <v>0</v>
      </c>
      <c r="C389" s="300"/>
      <c r="D389" s="299">
        <f t="shared" si="84"/>
        <v>0</v>
      </c>
      <c r="E389" s="300"/>
      <c r="F389" s="299" t="str">
        <f t="shared" si="85"/>
        <v/>
      </c>
      <c r="G389" s="300"/>
      <c r="H389" s="299" t="str">
        <f t="shared" si="86"/>
        <v/>
      </c>
      <c r="I389" s="300"/>
      <c r="J389" s="299" t="str">
        <f t="shared" si="87"/>
        <v/>
      </c>
      <c r="K389" s="300"/>
    </row>
    <row r="390" spans="1:11" x14ac:dyDescent="0.2">
      <c r="A390" s="82"/>
      <c r="B390" s="299">
        <f t="shared" si="83"/>
        <v>0</v>
      </c>
      <c r="C390" s="300"/>
      <c r="D390" s="299">
        <f t="shared" si="84"/>
        <v>0</v>
      </c>
      <c r="E390" s="300"/>
      <c r="F390" s="299" t="str">
        <f t="shared" si="85"/>
        <v/>
      </c>
      <c r="G390" s="300"/>
      <c r="H390" s="299" t="str">
        <f t="shared" si="86"/>
        <v/>
      </c>
      <c r="I390" s="300"/>
      <c r="J390" s="299" t="str">
        <f t="shared" si="87"/>
        <v/>
      </c>
      <c r="K390" s="300"/>
    </row>
    <row r="391" spans="1:11" x14ac:dyDescent="0.2">
      <c r="A391" s="82"/>
      <c r="B391" s="299">
        <f t="shared" si="83"/>
        <v>0</v>
      </c>
      <c r="C391" s="300"/>
      <c r="D391" s="299">
        <f t="shared" si="84"/>
        <v>0</v>
      </c>
      <c r="E391" s="300"/>
      <c r="F391" s="299" t="str">
        <f t="shared" si="85"/>
        <v/>
      </c>
      <c r="G391" s="300"/>
      <c r="H391" s="299" t="str">
        <f t="shared" si="86"/>
        <v/>
      </c>
      <c r="I391" s="300"/>
      <c r="J391" s="299" t="str">
        <f t="shared" si="87"/>
        <v/>
      </c>
      <c r="K391" s="300"/>
    </row>
    <row r="392" spans="1:11" x14ac:dyDescent="0.2">
      <c r="A392" s="82"/>
      <c r="B392" s="299">
        <f t="shared" si="83"/>
        <v>0</v>
      </c>
      <c r="C392" s="300"/>
      <c r="D392" s="299">
        <f t="shared" si="84"/>
        <v>0</v>
      </c>
      <c r="E392" s="300"/>
      <c r="F392" s="299" t="str">
        <f t="shared" si="85"/>
        <v/>
      </c>
      <c r="G392" s="300"/>
      <c r="H392" s="299" t="str">
        <f t="shared" si="86"/>
        <v/>
      </c>
      <c r="I392" s="300"/>
      <c r="J392" s="299" t="str">
        <f t="shared" si="87"/>
        <v/>
      </c>
      <c r="K392" s="300"/>
    </row>
    <row r="393" spans="1:11" x14ac:dyDescent="0.2">
      <c r="A393" s="82"/>
      <c r="B393" s="299">
        <f t="shared" si="83"/>
        <v>0</v>
      </c>
      <c r="C393" s="300"/>
      <c r="D393" s="299">
        <f t="shared" si="84"/>
        <v>0</v>
      </c>
      <c r="E393" s="300"/>
      <c r="F393" s="299" t="str">
        <f t="shared" si="85"/>
        <v/>
      </c>
      <c r="G393" s="300"/>
      <c r="H393" s="299" t="str">
        <f t="shared" si="86"/>
        <v/>
      </c>
      <c r="I393" s="300"/>
      <c r="J393" s="299" t="str">
        <f t="shared" si="87"/>
        <v/>
      </c>
      <c r="K393" s="300"/>
    </row>
    <row r="394" spans="1:11" x14ac:dyDescent="0.2">
      <c r="A394" s="82"/>
      <c r="B394" s="299">
        <f t="shared" si="83"/>
        <v>0</v>
      </c>
      <c r="C394" s="300"/>
      <c r="D394" s="299">
        <f t="shared" si="84"/>
        <v>0</v>
      </c>
      <c r="E394" s="300"/>
      <c r="F394" s="299" t="str">
        <f t="shared" si="85"/>
        <v/>
      </c>
      <c r="G394" s="300"/>
      <c r="H394" s="299" t="str">
        <f t="shared" si="86"/>
        <v/>
      </c>
      <c r="I394" s="300"/>
      <c r="J394" s="299" t="str">
        <f t="shared" si="87"/>
        <v/>
      </c>
      <c r="K394" s="300"/>
    </row>
    <row r="395" spans="1:11" x14ac:dyDescent="0.2">
      <c r="A395" s="82"/>
      <c r="B395" s="299">
        <f t="shared" si="83"/>
        <v>0</v>
      </c>
      <c r="C395" s="300"/>
      <c r="D395" s="299">
        <f t="shared" si="84"/>
        <v>0</v>
      </c>
      <c r="E395" s="300"/>
      <c r="F395" s="299" t="str">
        <f t="shared" si="85"/>
        <v/>
      </c>
      <c r="G395" s="300"/>
      <c r="H395" s="299" t="str">
        <f t="shared" si="86"/>
        <v/>
      </c>
      <c r="I395" s="300"/>
      <c r="J395" s="299" t="str">
        <f t="shared" si="87"/>
        <v/>
      </c>
      <c r="K395" s="300"/>
    </row>
    <row r="396" spans="1:11" x14ac:dyDescent="0.2">
      <c r="A396" s="82"/>
      <c r="B396" s="299">
        <f t="shared" si="83"/>
        <v>0</v>
      </c>
      <c r="C396" s="300"/>
      <c r="D396" s="299">
        <f t="shared" si="84"/>
        <v>0</v>
      </c>
      <c r="E396" s="300"/>
      <c r="F396" s="299" t="str">
        <f t="shared" si="85"/>
        <v/>
      </c>
      <c r="G396" s="300"/>
      <c r="H396" s="299" t="str">
        <f t="shared" si="86"/>
        <v/>
      </c>
      <c r="I396" s="300"/>
      <c r="J396" s="299" t="str">
        <f t="shared" si="87"/>
        <v/>
      </c>
      <c r="K396" s="300"/>
    </row>
    <row r="397" spans="1:11" x14ac:dyDescent="0.2">
      <c r="A397" s="82"/>
      <c r="B397" s="299">
        <f t="shared" si="83"/>
        <v>0</v>
      </c>
      <c r="C397" s="300"/>
      <c r="D397" s="299">
        <f t="shared" si="84"/>
        <v>0</v>
      </c>
      <c r="E397" s="300"/>
      <c r="F397" s="299" t="str">
        <f t="shared" si="85"/>
        <v/>
      </c>
      <c r="G397" s="300"/>
      <c r="H397" s="299" t="str">
        <f t="shared" si="86"/>
        <v/>
      </c>
      <c r="I397" s="300"/>
      <c r="J397" s="299" t="str">
        <f t="shared" si="87"/>
        <v/>
      </c>
      <c r="K397" s="300"/>
    </row>
    <row r="398" spans="1:11" x14ac:dyDescent="0.2">
      <c r="A398" s="82"/>
      <c r="B398" s="299">
        <f t="shared" si="83"/>
        <v>0</v>
      </c>
      <c r="C398" s="300"/>
      <c r="D398" s="299">
        <f t="shared" si="84"/>
        <v>0</v>
      </c>
      <c r="E398" s="300"/>
      <c r="F398" s="299" t="str">
        <f t="shared" si="85"/>
        <v/>
      </c>
      <c r="G398" s="300"/>
      <c r="H398" s="299" t="str">
        <f t="shared" si="86"/>
        <v/>
      </c>
      <c r="I398" s="300"/>
      <c r="J398" s="299" t="str">
        <f t="shared" si="87"/>
        <v/>
      </c>
      <c r="K398" s="300"/>
    </row>
    <row r="399" spans="1:11" x14ac:dyDescent="0.2">
      <c r="A399" s="82"/>
      <c r="B399" s="299">
        <f t="shared" si="83"/>
        <v>0</v>
      </c>
      <c r="C399" s="300"/>
      <c r="D399" s="299">
        <f t="shared" si="84"/>
        <v>0</v>
      </c>
      <c r="E399" s="300"/>
      <c r="F399" s="299" t="str">
        <f t="shared" si="85"/>
        <v/>
      </c>
      <c r="G399" s="300"/>
      <c r="H399" s="299" t="str">
        <f t="shared" si="86"/>
        <v/>
      </c>
      <c r="I399" s="300"/>
      <c r="J399" s="299" t="str">
        <f t="shared" si="87"/>
        <v/>
      </c>
      <c r="K399" s="300"/>
    </row>
    <row r="400" spans="1:11" x14ac:dyDescent="0.2">
      <c r="A400" s="82"/>
      <c r="B400" s="299">
        <f t="shared" si="83"/>
        <v>0</v>
      </c>
      <c r="C400" s="300"/>
      <c r="D400" s="299">
        <f t="shared" si="84"/>
        <v>0</v>
      </c>
      <c r="E400" s="300"/>
      <c r="F400" s="299" t="str">
        <f t="shared" si="85"/>
        <v/>
      </c>
      <c r="G400" s="300"/>
      <c r="H400" s="299" t="str">
        <f t="shared" si="86"/>
        <v/>
      </c>
      <c r="I400" s="300"/>
      <c r="J400" s="299" t="str">
        <f t="shared" si="87"/>
        <v/>
      </c>
      <c r="K400" s="300"/>
    </row>
    <row r="401" spans="1:11" x14ac:dyDescent="0.2">
      <c r="A401" s="82"/>
      <c r="B401" s="299">
        <f t="shared" si="83"/>
        <v>0</v>
      </c>
      <c r="C401" s="300"/>
      <c r="D401" s="299">
        <f t="shared" si="84"/>
        <v>0</v>
      </c>
      <c r="E401" s="300"/>
      <c r="F401" s="299" t="str">
        <f t="shared" si="85"/>
        <v/>
      </c>
      <c r="G401" s="300"/>
      <c r="H401" s="299" t="str">
        <f t="shared" si="86"/>
        <v/>
      </c>
      <c r="I401" s="300"/>
      <c r="J401" s="299" t="str">
        <f t="shared" si="87"/>
        <v/>
      </c>
      <c r="K401" s="300"/>
    </row>
    <row r="402" spans="1:11" x14ac:dyDescent="0.2">
      <c r="A402" s="82"/>
      <c r="B402" s="299">
        <f t="shared" si="83"/>
        <v>0</v>
      </c>
      <c r="C402" s="300"/>
      <c r="D402" s="299">
        <f t="shared" si="84"/>
        <v>0</v>
      </c>
      <c r="E402" s="300"/>
      <c r="F402" s="299" t="str">
        <f t="shared" si="85"/>
        <v/>
      </c>
      <c r="G402" s="300"/>
      <c r="H402" s="299" t="str">
        <f t="shared" si="86"/>
        <v/>
      </c>
      <c r="I402" s="300"/>
      <c r="J402" s="299" t="str">
        <f t="shared" si="87"/>
        <v/>
      </c>
      <c r="K402" s="300"/>
    </row>
    <row r="403" spans="1:11" x14ac:dyDescent="0.2">
      <c r="A403" s="82"/>
      <c r="B403" s="299">
        <f t="shared" si="83"/>
        <v>0</v>
      </c>
      <c r="C403" s="300"/>
      <c r="D403" s="299">
        <f t="shared" si="84"/>
        <v>0</v>
      </c>
      <c r="E403" s="300"/>
      <c r="F403" s="299" t="str">
        <f t="shared" si="85"/>
        <v/>
      </c>
      <c r="G403" s="300"/>
      <c r="H403" s="299" t="str">
        <f t="shared" si="86"/>
        <v/>
      </c>
      <c r="I403" s="300"/>
      <c r="J403" s="299" t="str">
        <f t="shared" si="87"/>
        <v/>
      </c>
      <c r="K403" s="300"/>
    </row>
  </sheetData>
  <mergeCells count="678">
    <mergeCell ref="A210:A211"/>
    <mergeCell ref="B210:D210"/>
    <mergeCell ref="B211:D211"/>
    <mergeCell ref="A212:A213"/>
    <mergeCell ref="B212:D212"/>
    <mergeCell ref="B213:D213"/>
    <mergeCell ref="B45:C45"/>
    <mergeCell ref="D45:E45"/>
    <mergeCell ref="F45:G45"/>
    <mergeCell ref="B84:C84"/>
    <mergeCell ref="D84:E84"/>
    <mergeCell ref="F84:G84"/>
    <mergeCell ref="A206:A207"/>
    <mergeCell ref="A208:A209"/>
    <mergeCell ref="J95:K95"/>
    <mergeCell ref="H95:I95"/>
    <mergeCell ref="J84:K84"/>
    <mergeCell ref="H84:I84"/>
    <mergeCell ref="J45:K45"/>
    <mergeCell ref="H45:I45"/>
    <mergeCell ref="B95:C95"/>
    <mergeCell ref="D95:E95"/>
    <mergeCell ref="F95:G95"/>
    <mergeCell ref="H99:I99"/>
    <mergeCell ref="J99:K99"/>
    <mergeCell ref="B98:C98"/>
    <mergeCell ref="D98:E98"/>
    <mergeCell ref="F98:G98"/>
    <mergeCell ref="H98:I98"/>
    <mergeCell ref="J98:K98"/>
    <mergeCell ref="D217:E217"/>
    <mergeCell ref="F217:G217"/>
    <mergeCell ref="H217:I217"/>
    <mergeCell ref="J217:K217"/>
    <mergeCell ref="B217:C217"/>
    <mergeCell ref="A136:B136"/>
    <mergeCell ref="A154:B154"/>
    <mergeCell ref="B99:C99"/>
    <mergeCell ref="D99:E99"/>
    <mergeCell ref="F99:G99"/>
    <mergeCell ref="B204:D204"/>
    <mergeCell ref="B205:D205"/>
    <mergeCell ref="B206:D206"/>
    <mergeCell ref="B207:D207"/>
    <mergeCell ref="B208:D208"/>
    <mergeCell ref="B209:D209"/>
    <mergeCell ref="A204:A205"/>
    <mergeCell ref="B274:C274"/>
    <mergeCell ref="D274:E274"/>
    <mergeCell ref="F274:G274"/>
    <mergeCell ref="H274:I274"/>
    <mergeCell ref="J274:K274"/>
    <mergeCell ref="B246:C246"/>
    <mergeCell ref="D246:E246"/>
    <mergeCell ref="F246:G246"/>
    <mergeCell ref="H246:I246"/>
    <mergeCell ref="J246:K246"/>
    <mergeCell ref="B280:C280"/>
    <mergeCell ref="B281:C281"/>
    <mergeCell ref="B282:C282"/>
    <mergeCell ref="B283:C283"/>
    <mergeCell ref="B284:C284"/>
    <mergeCell ref="B275:C275"/>
    <mergeCell ref="B276:C276"/>
    <mergeCell ref="B277:C277"/>
    <mergeCell ref="B278:C278"/>
    <mergeCell ref="B279:C27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D280:E280"/>
    <mergeCell ref="D281:E281"/>
    <mergeCell ref="D282:E282"/>
    <mergeCell ref="D283:E283"/>
    <mergeCell ref="D284:E284"/>
    <mergeCell ref="D275:E275"/>
    <mergeCell ref="D276:E276"/>
    <mergeCell ref="D277:E277"/>
    <mergeCell ref="D278:E278"/>
    <mergeCell ref="D279:E279"/>
    <mergeCell ref="D290:E290"/>
    <mergeCell ref="D291:E291"/>
    <mergeCell ref="D292:E292"/>
    <mergeCell ref="D293:E293"/>
    <mergeCell ref="D294:E294"/>
    <mergeCell ref="D285:E285"/>
    <mergeCell ref="D286:E286"/>
    <mergeCell ref="D287:E287"/>
    <mergeCell ref="D288:E288"/>
    <mergeCell ref="D289:E289"/>
    <mergeCell ref="F290:G290"/>
    <mergeCell ref="F291:G291"/>
    <mergeCell ref="F292:G292"/>
    <mergeCell ref="F293:G293"/>
    <mergeCell ref="F294:G294"/>
    <mergeCell ref="D300:E300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D295:E295"/>
    <mergeCell ref="D296:E296"/>
    <mergeCell ref="D297:E297"/>
    <mergeCell ref="H280:I280"/>
    <mergeCell ref="H281:I281"/>
    <mergeCell ref="H282:I282"/>
    <mergeCell ref="H283:I283"/>
    <mergeCell ref="H284:I284"/>
    <mergeCell ref="H275:I275"/>
    <mergeCell ref="H276:I276"/>
    <mergeCell ref="H277:I277"/>
    <mergeCell ref="H278:I278"/>
    <mergeCell ref="H279:I279"/>
    <mergeCell ref="H290:I290"/>
    <mergeCell ref="H291:I291"/>
    <mergeCell ref="H292:I292"/>
    <mergeCell ref="H293:I293"/>
    <mergeCell ref="H294:I294"/>
    <mergeCell ref="H285:I285"/>
    <mergeCell ref="H286:I286"/>
    <mergeCell ref="H287:I287"/>
    <mergeCell ref="H288:I288"/>
    <mergeCell ref="H289:I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02:K302"/>
    <mergeCell ref="F302:G302"/>
    <mergeCell ref="H302:I302"/>
    <mergeCell ref="B302:C302"/>
    <mergeCell ref="D302:E302"/>
    <mergeCell ref="J295:K295"/>
    <mergeCell ref="J296:K296"/>
    <mergeCell ref="J297:K297"/>
    <mergeCell ref="J298:K298"/>
    <mergeCell ref="H295:I295"/>
    <mergeCell ref="H296:I296"/>
    <mergeCell ref="H297:I297"/>
    <mergeCell ref="H298:I298"/>
    <mergeCell ref="F295:G295"/>
    <mergeCell ref="F296:G296"/>
    <mergeCell ref="F297:G297"/>
    <mergeCell ref="F298:G298"/>
    <mergeCell ref="D298:E298"/>
    <mergeCell ref="B295:C295"/>
    <mergeCell ref="B296:C296"/>
    <mergeCell ref="B297:C297"/>
    <mergeCell ref="B298:C298"/>
    <mergeCell ref="B300:C300"/>
    <mergeCell ref="F300:G300"/>
    <mergeCell ref="J303:K303"/>
    <mergeCell ref="J304:K304"/>
    <mergeCell ref="F303:G303"/>
    <mergeCell ref="H303:I303"/>
    <mergeCell ref="F304:G304"/>
    <mergeCell ref="H304:I304"/>
    <mergeCell ref="B303:C303"/>
    <mergeCell ref="D303:E303"/>
    <mergeCell ref="B304:C304"/>
    <mergeCell ref="D304:E304"/>
    <mergeCell ref="J305:K305"/>
    <mergeCell ref="J306:K306"/>
    <mergeCell ref="F305:G305"/>
    <mergeCell ref="H305:I305"/>
    <mergeCell ref="F306:G306"/>
    <mergeCell ref="H306:I306"/>
    <mergeCell ref="B305:C305"/>
    <mergeCell ref="D305:E305"/>
    <mergeCell ref="B306:C306"/>
    <mergeCell ref="D306:E306"/>
    <mergeCell ref="F309:G309"/>
    <mergeCell ref="H309:I309"/>
    <mergeCell ref="F310:G310"/>
    <mergeCell ref="H310:I310"/>
    <mergeCell ref="B309:C309"/>
    <mergeCell ref="D309:E309"/>
    <mergeCell ref="B310:C310"/>
    <mergeCell ref="D310:E310"/>
    <mergeCell ref="J307:K307"/>
    <mergeCell ref="J308:K308"/>
    <mergeCell ref="F307:G307"/>
    <mergeCell ref="H307:I307"/>
    <mergeCell ref="F308:G308"/>
    <mergeCell ref="H308:I308"/>
    <mergeCell ref="B307:C307"/>
    <mergeCell ref="D307:E307"/>
    <mergeCell ref="B308:C308"/>
    <mergeCell ref="D308:E308"/>
    <mergeCell ref="B313:C313"/>
    <mergeCell ref="D313:E313"/>
    <mergeCell ref="F313:G313"/>
    <mergeCell ref="H313:I313"/>
    <mergeCell ref="J313:K313"/>
    <mergeCell ref="H300:I300"/>
    <mergeCell ref="J300:K300"/>
    <mergeCell ref="B301:C301"/>
    <mergeCell ref="D301:E301"/>
    <mergeCell ref="F301:G301"/>
    <mergeCell ref="H301:I301"/>
    <mergeCell ref="J301:K301"/>
    <mergeCell ref="B312:C312"/>
    <mergeCell ref="D312:E312"/>
    <mergeCell ref="F312:G312"/>
    <mergeCell ref="H312:I312"/>
    <mergeCell ref="J312:K312"/>
    <mergeCell ref="B311:C311"/>
    <mergeCell ref="D311:E311"/>
    <mergeCell ref="F311:G311"/>
    <mergeCell ref="H311:I311"/>
    <mergeCell ref="J311:K311"/>
    <mergeCell ref="J309:K309"/>
    <mergeCell ref="J310:K310"/>
    <mergeCell ref="B315:C315"/>
    <mergeCell ref="D315:E315"/>
    <mergeCell ref="F315:G315"/>
    <mergeCell ref="H315:I315"/>
    <mergeCell ref="J315:K315"/>
    <mergeCell ref="B314:C314"/>
    <mergeCell ref="D314:E314"/>
    <mergeCell ref="F314:G314"/>
    <mergeCell ref="H314:I314"/>
    <mergeCell ref="J314:K314"/>
    <mergeCell ref="B317:C317"/>
    <mergeCell ref="D317:E317"/>
    <mergeCell ref="F317:G317"/>
    <mergeCell ref="H317:I317"/>
    <mergeCell ref="J317:K317"/>
    <mergeCell ref="B316:C316"/>
    <mergeCell ref="D316:E316"/>
    <mergeCell ref="F316:G316"/>
    <mergeCell ref="H316:I316"/>
    <mergeCell ref="J316:K316"/>
    <mergeCell ref="F320:G320"/>
    <mergeCell ref="H320:I320"/>
    <mergeCell ref="J320:K320"/>
    <mergeCell ref="B319:C319"/>
    <mergeCell ref="D319:E319"/>
    <mergeCell ref="F319:G319"/>
    <mergeCell ref="H319:I319"/>
    <mergeCell ref="J319:K319"/>
    <mergeCell ref="B318:C318"/>
    <mergeCell ref="D318:E318"/>
    <mergeCell ref="F318:G318"/>
    <mergeCell ref="H318:I318"/>
    <mergeCell ref="J318:K318"/>
    <mergeCell ref="B320:C320"/>
    <mergeCell ref="D320:E320"/>
    <mergeCell ref="B324:C324"/>
    <mergeCell ref="D324:E324"/>
    <mergeCell ref="F324:G324"/>
    <mergeCell ref="H324:I324"/>
    <mergeCell ref="J324:K324"/>
    <mergeCell ref="B323:C323"/>
    <mergeCell ref="D323:E323"/>
    <mergeCell ref="F323:G323"/>
    <mergeCell ref="H323:I323"/>
    <mergeCell ref="J323:K323"/>
    <mergeCell ref="B322:C322"/>
    <mergeCell ref="D322:E322"/>
    <mergeCell ref="F322:G322"/>
    <mergeCell ref="H322:I322"/>
    <mergeCell ref="J322:K322"/>
    <mergeCell ref="B321:C321"/>
    <mergeCell ref="D321:E321"/>
    <mergeCell ref="F321:G321"/>
    <mergeCell ref="H321:I321"/>
    <mergeCell ref="J321:K321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C16:G16"/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</mergeCells>
  <conditionalFormatting sqref="L44:M58 M35:M43">
    <cfRule type="expression" dxfId="85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851C26ED-17CC-478C-BABE-2CE8C2F925BA}">
            <xm:f>'Pilot Project Budget'!#REF!&lt;&gt;$A$91</xm:f>
            <x14:dxf/>
          </x14:cfRule>
          <xm:sqref>M181:O181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31" workbookViewId="0">
      <selection activeCell="F35" sqref="F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>
        <f>IF('R10'!N2="0 Months",0,IF('R10'!N2="1 month",1,IF('R10'!N2="2 months",2,IF('R10'!N2="3 months",3,IF('R10'!N2="4 months",4,IF('R10'!N2="5 months",5,IF('R10'!N2="6 months",6,IF('R10'!N2="7 months",7,IF('R10'!N2="8 months",8,IF('R10'!N2="9 months",9,IF('R10'!N2="10 months",10,IF('R10'!N2="11 months",11,IF('R10'!N2="12 months",12,0)))))))))))))</f>
        <v>12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>
        <f>'R10'!C1</f>
        <v>43009</v>
      </c>
      <c r="C2" s="5">
        <f>B2</f>
        <v>43009</v>
      </c>
      <c r="D2" s="5">
        <f>IF(C3&lt;B3,DATE(YEAR(C3),MONTH(C3),DAY(C3)+1),"")</f>
        <v>43374</v>
      </c>
      <c r="E2" s="5">
        <f>IF($D$3&lt;$B$3,DATE(YEAR(D3),MONTH(D3),DAY(D3)+1),"")</f>
        <v>43739</v>
      </c>
      <c r="F2" s="5">
        <f>IF(AND($D$3&lt;$B$3,$E3&lt;$B$3),DATE(YEAR(E3),MONTH(E3),DAY(E3)+1),"")</f>
        <v>44105</v>
      </c>
      <c r="G2" s="5">
        <f>IF(AND($D$3&lt;$B$3,$E3&lt;$B$3,F3&lt;B3),DATE(YEAR(F3),MONTH(F3),DAY(F3)+1),"")</f>
        <v>44470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>
        <f>'R10'!C2</f>
        <v>44834</v>
      </c>
      <c r="C3" s="5">
        <f>IF(B5&lt;C1,B3,(DATE(YEAR(C2),MONTH(C2)+C1,DAY(C2)-1)))</f>
        <v>43373</v>
      </c>
      <c r="D3" s="5">
        <f>IF(C3=B3,"",IF((DATE(YEAR(D2)+1,MONTH(D2),DAY(D2)-1))&gt;$B$3,$B$3,(DATE(YEAR(D2)+1,MONTH(D2),DAY(D2)-1))))</f>
        <v>43738</v>
      </c>
      <c r="E3" s="5">
        <f>IF(C3=B3,"",IF(D3=B3,"",IF((DATE(YEAR(E2)+1,MONTH(E2),DAY(E2)-1))&gt;$B$3,$B$3,(DATE(YEAR(E2)+1,MONTH(E2),DAY(E2)-1)))))</f>
        <v>44104</v>
      </c>
      <c r="F3" s="5">
        <f>IF($B$3=$C$3,"",IF($D$3=$B$3,"",IF($E$3=$B$3,"",IF((DATE(YEAR(F2)+1,MONTH(F2),DAY(F2)-1))&gt;$B$3,$B$3,(DATE(YEAR(F2)+1,MONTH(F2),DAY(F2)-1))))))</f>
        <v>44469</v>
      </c>
      <c r="G3" s="5">
        <f>IF($B$3=$C$3,"",IF($D$3=$B$3,"",IF($E$3=$B$3,"",IF($F3=B3,"",IF((DATE(YEAR(G2)+1,MONTH(G2),DAY(G2)-1))&gt;$B$3,$B$3,(DATE(YEAR(G2)+1,MONTH(G2),DAY(G2)-1)))))))</f>
        <v>44834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17/18</v>
      </c>
      <c r="C4" s="258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17/18</v>
      </c>
      <c r="D4" s="258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18/19</v>
      </c>
      <c r="E4" s="258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19/20</v>
      </c>
      <c r="F4" s="258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20/21</v>
      </c>
      <c r="G4" s="258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21/22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>
        <f>ROUND(YEARFRAC(B2,(DATE(YEAR(B3),MONTH(B3),DAY(B3)+1)),0)*12,1)</f>
        <v>60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12</v>
      </c>
      <c r="E5" s="16">
        <f>IF(E4="",0,ROUND(YEARFRAC(E2,(DATE(YEAR(E3),MONTH(E3),DAY(E3)+1)),0)*12,1))</f>
        <v>12</v>
      </c>
      <c r="F5" s="16">
        <f>IF(F4="",0,ROUND(YEARFRAC(F2,(DATE(YEAR(F3),MONTH(F3),DAY(F3)+1)),0)*12,1))</f>
        <v>12</v>
      </c>
      <c r="G5" s="16">
        <f>IF(G4="",0,ROUND(YEARFRAC(G2,(DATE(YEAR(G3),MONTH(G3),DAY(G3)+1)),0)*12,1))</f>
        <v>12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9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9</v>
      </c>
      <c r="E6" s="15">
        <f t="shared" si="0"/>
        <v>9</v>
      </c>
      <c r="F6" s="15">
        <f t="shared" si="0"/>
        <v>9</v>
      </c>
      <c r="G6" s="15">
        <f t="shared" si="0"/>
        <v>9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>
        <f>IF(ROUND(C5-C6,2)&lt;0,0,ROUND(C5-C6,2))</f>
        <v>3</v>
      </c>
      <c r="D7" s="8">
        <f>IF(ROUND(D5-D6,2)&lt;0,0,ROUND(D5-D6,2))</f>
        <v>3</v>
      </c>
      <c r="E7" s="8">
        <f>IF(ROUND(E5-E6,2)&lt;0,0,ROUND(E5-E6,2))</f>
        <v>3</v>
      </c>
      <c r="F7" s="8">
        <f>IF(ROUND(F5-F6,2)&lt;0,0,ROUND(F5-F6,2))</f>
        <v>3</v>
      </c>
      <c r="G7" s="8">
        <f>IF(ROUND(G5-G6,2)&lt;0,0,ROUND(G5-G6,2))</f>
        <v>3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7/01/2018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7/01/2019</v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7/01/2020</v>
      </c>
      <c r="F8" s="5" t="str">
        <f t="shared" si="1"/>
        <v>7/01/2021</v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7/01/2022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>
        <f>IF(C5&lt;C6,C5,IF(C5=C6,C5,IF(C5&gt;C6,C6)))</f>
        <v>9</v>
      </c>
      <c r="D9" s="14">
        <f t="shared" ref="D9:E9" si="2">IF(D5&lt;D6,D5,IF(D5=D6,D5,IF(D5&gt;D6,D6)))</f>
        <v>9</v>
      </c>
      <c r="E9" s="14">
        <f t="shared" si="2"/>
        <v>9</v>
      </c>
      <c r="F9" s="14">
        <f>IF(F5&lt;F6,F5,IF(F5=F6,F5,IF(F5&gt;F6,F6)))</f>
        <v>9</v>
      </c>
      <c r="G9" s="14">
        <f>IF(G5&lt;G6,G5,IF(G5=G6,G5,IF(G5&gt;G6,G6)))</f>
        <v>9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>
        <f>ROUND(C5-C9,2)</f>
        <v>3</v>
      </c>
      <c r="D10" s="7">
        <f>IF(D4="",0,ROUND(D5-D9,2))</f>
        <v>3</v>
      </c>
      <c r="E10" s="7">
        <f>IF(E4="",0,ROUND(E5-E9,2))</f>
        <v>3</v>
      </c>
      <c r="F10" s="7">
        <f>IF(F4="",0,ROUND(F5-F9,2))</f>
        <v>3</v>
      </c>
      <c r="G10" s="7">
        <f>IF(G4="",0,ROUND(G5-G9,2))</f>
        <v>3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0.5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0.5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0.5</v>
      </c>
      <c r="F11" s="21">
        <f t="shared" si="3"/>
        <v>0.5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0.5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>
        <f>3-C11</f>
        <v>2.5</v>
      </c>
      <c r="D12" s="7">
        <f>IF(D4="",0,3-D11)</f>
        <v>2.5</v>
      </c>
      <c r="E12" s="7">
        <f>IF(E4="",0,3-E11)</f>
        <v>2.5</v>
      </c>
      <c r="F12" s="7">
        <f>IF(F4="",0,3-F11)</f>
        <v>2.5</v>
      </c>
      <c r="G12" s="7">
        <f>IF(G4="",0,3-G11)</f>
        <v>2.5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>
        <f>IF(C9&gt;=C11,C11,C9)</f>
        <v>0.5</v>
      </c>
      <c r="D13" s="74">
        <f>IF(D4="",0,IF(D9&gt;=D11,D11,D9))</f>
        <v>0.5</v>
      </c>
      <c r="E13" s="74">
        <f t="shared" ref="E13:G13" si="4">IF(E9&gt;=E11,E11,E9)</f>
        <v>0.5</v>
      </c>
      <c r="F13" s="74">
        <f t="shared" si="4"/>
        <v>0.5</v>
      </c>
      <c r="G13" s="74">
        <f t="shared" si="4"/>
        <v>0.5</v>
      </c>
      <c r="H13" s="12"/>
    </row>
    <row r="14" spans="1:15" x14ac:dyDescent="0.2">
      <c r="A14" s="72" t="s">
        <v>56</v>
      </c>
      <c r="B14" s="73"/>
      <c r="C14" s="74">
        <f>IF(C10&gt;=C12,C12,C10)</f>
        <v>2.5</v>
      </c>
      <c r="D14" s="74">
        <f t="shared" ref="D14:G14" si="5">IF(D10&gt;=D12,D12,D10)</f>
        <v>2.5</v>
      </c>
      <c r="E14" s="74">
        <f t="shared" si="5"/>
        <v>2.5</v>
      </c>
      <c r="F14" s="74">
        <f t="shared" si="5"/>
        <v>2.5</v>
      </c>
      <c r="G14" s="74">
        <f t="shared" si="5"/>
        <v>2.5</v>
      </c>
      <c r="H14" s="12"/>
    </row>
    <row r="15" spans="1:15" x14ac:dyDescent="0.2">
      <c r="A15" s="258" t="s">
        <v>58</v>
      </c>
      <c r="B15" s="5">
        <f ca="1">IF('R10'!R1="",TODAY(),'R10'!R1)</f>
        <v>42886</v>
      </c>
      <c r="H15" s="12"/>
    </row>
    <row r="16" spans="1:15" x14ac:dyDescent="0.2">
      <c r="A16" s="258" t="s">
        <v>60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16/17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7/01/2017</v>
      </c>
      <c r="C17" s="28">
        <f>(DATE(YEAR(C2),MONTH(C2)+C6,DAY(C2)-1))</f>
        <v>43281</v>
      </c>
      <c r="D17" s="28">
        <f>IF(D2="","",(DATE(YEAR(D2),MONTH(D2)+D6,DAY(D2)-1)))</f>
        <v>43646</v>
      </c>
      <c r="E17" s="28">
        <f>IF(E2="","",(DATE(YEAR(E2),MONTH(E2)+E6,DAY(E2)-1)))</f>
        <v>44012</v>
      </c>
      <c r="F17" s="28">
        <f t="shared" ref="F17:G17" si="6">IF(F2="","",(DATE(YEAR(F2),MONTH(F2)+F6,DAY(F2)-1)))</f>
        <v>44377</v>
      </c>
      <c r="G17" s="165">
        <f t="shared" si="6"/>
        <v>44742</v>
      </c>
      <c r="H17" s="12"/>
    </row>
    <row r="18" spans="1:8" x14ac:dyDescent="0.2">
      <c r="A18" s="258" t="s">
        <v>59</v>
      </c>
      <c r="B18" s="116">
        <f ca="1">ROUND(IF(B16="","",YEARFRAC(B15,(DATE(YEAR(B17),MONTH(B17),DAY(B17)+1)),1)*12),1)</f>
        <v>1.1000000000000001</v>
      </c>
      <c r="C18" s="31">
        <f>(DATE(YEAR(C2),MONTH(C2)+C6,DAY(C2)))</f>
        <v>43282</v>
      </c>
      <c r="D18" s="31">
        <f>IF(D2="","",(DATE(YEAR(D2),MONTH(D2)+D6,DAY(D2))))</f>
        <v>43647</v>
      </c>
      <c r="E18" s="31">
        <f t="shared" ref="E18:G18" si="7">IF(E2="","",(DATE(YEAR(E2),MONTH(E2)+E6,DAY(E2))))</f>
        <v>44013</v>
      </c>
      <c r="F18" s="31">
        <f t="shared" si="7"/>
        <v>44378</v>
      </c>
      <c r="G18" s="166">
        <f t="shared" si="7"/>
        <v>44743</v>
      </c>
      <c r="H18" s="12"/>
    </row>
    <row r="19" spans="1:8" x14ac:dyDescent="0.2">
      <c r="A19" s="258" t="s">
        <v>62</v>
      </c>
      <c r="B19" s="116">
        <f ca="1">ROUND(YEARFRAC(B15,(DATE(YEAR(B2),MONTH(B2),DAY(B2)+1)),1)*12,1)</f>
        <v>4.0999999999999996</v>
      </c>
      <c r="C19" s="33">
        <f>C3</f>
        <v>43373</v>
      </c>
      <c r="D19" s="33">
        <f>D3</f>
        <v>43738</v>
      </c>
      <c r="E19" s="33">
        <f>E3</f>
        <v>44104</v>
      </c>
      <c r="F19" s="33">
        <f>F3</f>
        <v>44469</v>
      </c>
      <c r="G19" s="167">
        <f>G3</f>
        <v>44834</v>
      </c>
      <c r="H19" s="12"/>
    </row>
    <row r="20" spans="1:8" x14ac:dyDescent="0.2">
      <c r="A20" s="258" t="s">
        <v>63</v>
      </c>
      <c r="B20" s="7">
        <f ca="1">IF(B18&gt;B19,0,IF(B19&gt;=B18,ROUNDDOWN((B19-B18)/12+1,0)))</f>
        <v>1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>
        <f ca="1">IF(C22=TRUE,C21,DATE(YEAR(C21)+1,MONTH(C21),DAY(C21)))</f>
        <v>42979</v>
      </c>
      <c r="C21" s="28" t="str">
        <f ca="1">IF(B16="14/15",("09/01/2014"),IF(B16="15/16",("09/01/2015"),IF(B16="16/17",("09/01/2016"),IF(B16="17/18",("09/1/2017")))))</f>
        <v>09/01/2016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>
        <f ca="1">ROUND(IF(B16="","",YEARFRAC(B15,(DATE(YEAR(B21),MONTH(B21),DAY(B21)+1)),1)*12),1)</f>
        <v>3.1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>
        <f ca="1">ROUND(YEARFRAC(B15,(DATE(YEAR(B2),MONTH(B2),DAY(B2)+1)),1)*12,1)</f>
        <v>4.0999999999999996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>
        <f ca="1">IF(AND(B22&gt;=B23,B22&lt;5),0,(IF(AND(B22&gt;=B23,B22&gt;=5),1,(IF(AND(B23&gt;B22,B22&gt;=5),ROUND((B23-B22)/12+1,0),((ROUND((B23-B22)/12,0))))))))</f>
        <v>0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9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9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9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9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9</v>
      </c>
      <c r="H25" s="12"/>
    </row>
    <row r="26" spans="1:8" x14ac:dyDescent="0.2">
      <c r="A26" s="258" t="s">
        <v>119</v>
      </c>
      <c r="B26" s="7"/>
      <c r="C26" s="14">
        <f>9-C25</f>
        <v>0</v>
      </c>
      <c r="D26" s="14">
        <f>IF(D4="",0,9-D25)</f>
        <v>0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2">
      <c r="A27" s="258" t="s">
        <v>120</v>
      </c>
      <c r="B27" s="7"/>
      <c r="C27" s="7">
        <f>IF(C5&lt;C25,C5,C25)</f>
        <v>9</v>
      </c>
      <c r="D27" s="7">
        <f>IF(D5&lt;D25,D5,D25)</f>
        <v>9</v>
      </c>
      <c r="E27" s="7">
        <f t="shared" ref="E27:G27" si="8">IF(E5&lt;E25,E5,E25)</f>
        <v>9</v>
      </c>
      <c r="F27" s="7">
        <f t="shared" si="8"/>
        <v>9</v>
      </c>
      <c r="G27" s="7">
        <f t="shared" si="8"/>
        <v>9</v>
      </c>
      <c r="H27" s="12"/>
    </row>
    <row r="28" spans="1:8" x14ac:dyDescent="0.2">
      <c r="A28" s="258" t="s">
        <v>121</v>
      </c>
      <c r="B28" s="5"/>
      <c r="C28" s="7">
        <f>IF(C5&lt;C25,0,IF(C5&lt;C25+C26,C5-C25,C26))</f>
        <v>0</v>
      </c>
      <c r="D28" s="7">
        <f>IF(D4="",0,IF(D5&lt;D25,0,IF(D5&lt;D25+D26,D5-D25,D26)))</f>
        <v>0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2">
      <c r="A29" s="258" t="s">
        <v>165</v>
      </c>
      <c r="B29" s="5"/>
      <c r="C29" s="7">
        <f>C27+C28</f>
        <v>9</v>
      </c>
      <c r="D29" s="7">
        <f t="shared" ref="D29:G29" si="9">D27+D28</f>
        <v>9</v>
      </c>
      <c r="E29" s="7">
        <f t="shared" si="9"/>
        <v>9</v>
      </c>
      <c r="F29" s="7">
        <f t="shared" si="9"/>
        <v>9</v>
      </c>
      <c r="G29" s="7">
        <f t="shared" si="9"/>
        <v>9</v>
      </c>
      <c r="H29" s="12"/>
    </row>
    <row r="30" spans="1:8" x14ac:dyDescent="0.2">
      <c r="A30" s="258" t="s">
        <v>166</v>
      </c>
      <c r="B30" s="5"/>
      <c r="C30" s="7">
        <f>IF(C29=0,0,IF(C29&lt;4,1,IF(C29&lt;7,2,3)))</f>
        <v>3</v>
      </c>
      <c r="D30" s="7">
        <f t="shared" ref="D30:F30" si="10">IF(D29=0,0,IF(D29&lt;4,1,IF(D29&lt;7,2,3)))</f>
        <v>3</v>
      </c>
      <c r="E30" s="7">
        <f t="shared" si="10"/>
        <v>3</v>
      </c>
      <c r="F30" s="7">
        <f t="shared" si="10"/>
        <v>3</v>
      </c>
      <c r="G30" s="7">
        <f>IF(G29=0,0,IF(G29&lt;4,1,IF(G29&lt;7,2,3)))</f>
        <v>3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>
        <f>IF('R10'!$S$34="No",$E35,ROUND(E35*1.03,3))</f>
        <v>0.20100000000000001</v>
      </c>
      <c r="G35" s="4">
        <f>IF('R10'!$S$34="No",$E35,ROUND(F35*1.03,3))</f>
        <v>0.20699999999999999</v>
      </c>
      <c r="H35" s="4">
        <f>IF('R10'!$S$34="No",$E35,ROUND(G35*1.03,3))</f>
        <v>0.21299999999999999</v>
      </c>
      <c r="I35" s="4">
        <f>IF('R10'!$S$34="No",$E35,ROUND(H35*1.03,3))</f>
        <v>0.219</v>
      </c>
      <c r="J35" s="4">
        <f>IF('R10'!$S$34="No",$E35,ROUND(I35*1.03,3))</f>
        <v>0.22600000000000001</v>
      </c>
      <c r="K35" s="4">
        <f>IF('R10'!$S$34="No",$E35,ROUND(J35*1.03,3))</f>
        <v>0.23300000000000001</v>
      </c>
      <c r="L35" s="4">
        <f>IF('R10'!$S$34="No",$E35,ROUND(K35*1.03,3))</f>
        <v>0.24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>
        <f>IF('R10'!$S$34="No",$E36,ROUND(E36*1.03,3))</f>
        <v>0.314</v>
      </c>
      <c r="G36" s="4">
        <f>IF('R10'!$S$34="No",$E36,ROUND(F36*1.03,3))</f>
        <v>0.32300000000000001</v>
      </c>
      <c r="H36" s="4">
        <f>IF('R10'!$S$34="No",$E36,ROUND(G36*1.03,3))</f>
        <v>0.33300000000000002</v>
      </c>
      <c r="I36" s="4">
        <f>IF('R10'!$S$34="No",$E36,ROUND(H36*1.03,3))</f>
        <v>0.34300000000000003</v>
      </c>
      <c r="J36" s="4">
        <f>IF('R10'!$S$34="No",$E36,ROUND(I36*1.03,3))</f>
        <v>0.35299999999999998</v>
      </c>
      <c r="K36" s="4">
        <f>IF('R10'!$S$34="No",$E36,ROUND(J36*1.03,3))</f>
        <v>0.36399999999999999</v>
      </c>
      <c r="L36" s="4">
        <f>IF('R10'!$S$34="No",$E36,ROUND(K36*1.03,3))</f>
        <v>0.375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>
        <f>IF('R10'!$S$34="No",$E37,ROUND(E37*1.03,3))</f>
        <v>0.40100000000000002</v>
      </c>
      <c r="G37" s="4">
        <f>IF('R10'!$S$34="No",$E37,ROUND(F37*1.03,3))</f>
        <v>0.41299999999999998</v>
      </c>
      <c r="H37" s="4">
        <f>IF('R10'!$S$34="No",$E37,ROUND(G37*1.03,3))</f>
        <v>0.42499999999999999</v>
      </c>
      <c r="I37" s="4">
        <f>IF('R10'!$S$34="No",$E37,ROUND(H37*1.03,3))</f>
        <v>0.438</v>
      </c>
      <c r="J37" s="4">
        <f>IF('R10'!$S$34="No",$E37,ROUND(I37*1.03,3))</f>
        <v>0.45100000000000001</v>
      </c>
      <c r="K37" s="4">
        <f>IF('R10'!$S$34="No",$E37,ROUND(J37*1.03,3))</f>
        <v>0.46500000000000002</v>
      </c>
      <c r="L37" s="4">
        <f>IF('R10'!$S$34="No",$E37,ROUND(K37*1.03,3))</f>
        <v>0.47899999999999998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>
        <f>IF('R10'!$S$34="No",$E38,ROUND(E38*1.03,3))</f>
        <v>0.52500000000000002</v>
      </c>
      <c r="G38" s="4">
        <f>IF('R10'!$S$34="No",$E38,ROUND(F38*1.03,3))</f>
        <v>0.54100000000000004</v>
      </c>
      <c r="H38" s="4">
        <f>IF('R10'!$S$34="No",$E38,ROUND(G38*1.03,3))</f>
        <v>0.55700000000000005</v>
      </c>
      <c r="I38" s="4">
        <f>IF('R10'!$S$34="No",$E38,ROUND(H38*1.03,3))</f>
        <v>0.57399999999999995</v>
      </c>
      <c r="J38" s="4">
        <f>IF('R10'!$S$34="No",$E38,ROUND(I38*1.03,3))</f>
        <v>0.59099999999999997</v>
      </c>
      <c r="K38" s="4">
        <f>IF('R10'!$S$34="No",$E38,ROUND(J38*1.03,3))</f>
        <v>0.60899999999999999</v>
      </c>
      <c r="L38" s="4">
        <f>IF('R10'!$S$34="No",$E38,ROUND(K38*1.03,3))</f>
        <v>0.627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>
        <f>IF('R10'!$S$34="No",$E39,ROUND(E39*1.03,3))</f>
        <v>0.625</v>
      </c>
      <c r="G39" s="4">
        <f>IF('R10'!$S$34="No",$E39,ROUND(F39*1.03,3))</f>
        <v>0.64400000000000002</v>
      </c>
      <c r="H39" s="4">
        <f>IF('R10'!$S$34="No",$E39,ROUND(G39*1.03,3))</f>
        <v>0.66300000000000003</v>
      </c>
      <c r="I39" s="4">
        <f>IF('R10'!$S$34="No",$E39,ROUND(H39*1.03,3))</f>
        <v>0.68300000000000005</v>
      </c>
      <c r="J39" s="4">
        <f>IF('R10'!$S$34="No",$E39,ROUND(I39*1.03,3))</f>
        <v>0.70299999999999996</v>
      </c>
      <c r="K39" s="4">
        <f>IF('R10'!$S$34="No",$E39,ROUND(J39*1.03,3))</f>
        <v>0.72399999999999998</v>
      </c>
      <c r="L39" s="4">
        <f>IF('R10'!$S$34="No",$E39,ROUND(K39*1.03,3))</f>
        <v>0.746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>
        <f>IF('R10'!$S$34="No",$E40,ROUND(E40*1.03,3))</f>
        <v>0.17799999999999999</v>
      </c>
      <c r="G40" s="4">
        <f>IF('R10'!$S$34="No",$E40,ROUND(F40*1.03,3))</f>
        <v>0.183</v>
      </c>
      <c r="H40" s="4">
        <f>IF('R10'!$S$34="No",$E40,ROUND(G40*1.03,3))</f>
        <v>0.188</v>
      </c>
      <c r="I40" s="4">
        <f>IF('R10'!$S$34="No",$E40,ROUND(H40*1.03,3))</f>
        <v>0.19400000000000001</v>
      </c>
      <c r="J40" s="4">
        <f>IF('R10'!$S$34="No",$E40,ROUND(I40*1.03,3))</f>
        <v>0.2</v>
      </c>
      <c r="K40" s="4">
        <f>IF('R10'!$S$34="No",$E40,ROUND(J40*1.03,3))</f>
        <v>0.20599999999999999</v>
      </c>
      <c r="L40" s="4">
        <f>IF('R10'!$S$34="No",$E40,ROUND(K40*1.03,3))</f>
        <v>0.21199999999999999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>
        <f>IF('R10'!$S$34="No",$E41,ROUND(E41*1.03,3))</f>
        <v>1.4999999999999999E-2</v>
      </c>
      <c r="G41" s="4">
        <f>IF('R10'!$S$34="No",$E41,ROUND(F41*1.03,3))</f>
        <v>1.4999999999999999E-2</v>
      </c>
      <c r="H41" s="4">
        <f>IF('R10'!$S$34="No",$E41,ROUND(G41*1.03,3))</f>
        <v>1.4999999999999999E-2</v>
      </c>
      <c r="I41" s="4">
        <f>IF('R10'!$S$34="No",$E41,ROUND(H41*1.03,3))</f>
        <v>1.4999999999999999E-2</v>
      </c>
      <c r="J41" s="4">
        <f>IF('R10'!$S$34="No",$E41,ROUND(I41*1.03,3))</f>
        <v>1.4999999999999999E-2</v>
      </c>
      <c r="K41" s="4">
        <f>IF('R10'!$S$34="No",$E41,ROUND(J41*1.03,3))</f>
        <v>1.4999999999999999E-2</v>
      </c>
      <c r="L41" s="4">
        <f>IF('R10'!$S$34="No",$E41,ROUND(K41*1.03,3))</f>
        <v>1.4999999999999999E-2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>
        <f>IF('R10'!$S$34="No",$E42,ROUND(E42*1.03,3))</f>
        <v>9.5000000000000001E-2</v>
      </c>
      <c r="G42" s="4">
        <f>IF('R10'!$S$34="No",$E42,ROUND(F42*1.03,3))</f>
        <v>9.8000000000000004E-2</v>
      </c>
      <c r="H42" s="4">
        <f>IF('R10'!$S$34="No",$E42,ROUND(G42*1.03,3))</f>
        <v>0.10100000000000001</v>
      </c>
      <c r="I42" s="4">
        <f>IF('R10'!$S$34="No",$E42,ROUND(H42*1.03,3))</f>
        <v>0.104</v>
      </c>
      <c r="J42" s="4">
        <f>IF('R10'!$S$34="No",$E42,ROUND(I42*1.03,3))</f>
        <v>0.107</v>
      </c>
      <c r="K42" s="4">
        <f>IF('R10'!$S$34="No",$E42,ROUND(J42*1.03,3))</f>
        <v>0.11</v>
      </c>
      <c r="L42" s="4">
        <f>IF('R10'!$S$34="No",$E42,ROUND(K42*1.03,3))</f>
        <v>0.113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>
        <f>IF('R10'!$S$34="No",$E43,ROUND(E43*1.03,3))</f>
        <v>4.8000000000000001E-2</v>
      </c>
      <c r="G43" s="4">
        <f>IF('R10'!$S$34="No",$E43,ROUND(F43*1.03,3))</f>
        <v>4.9000000000000002E-2</v>
      </c>
      <c r="H43" s="4">
        <f>IF('R10'!$S$34="No",$E43,ROUND(G43*1.03,3))</f>
        <v>0.05</v>
      </c>
      <c r="I43" s="4">
        <f>IF('R10'!$S$34="No",$E43,ROUND(H43*1.03,3))</f>
        <v>5.1999999999999998E-2</v>
      </c>
      <c r="J43" s="4">
        <f>IF('R10'!$S$34="No",$E43,ROUND(I43*1.03,3))</f>
        <v>5.3999999999999999E-2</v>
      </c>
      <c r="K43" s="4">
        <f>IF('R10'!$S$34="No",$E43,ROUND(J43*1.03,3))</f>
        <v>5.6000000000000001E-2</v>
      </c>
      <c r="L43" s="4">
        <f>IF('R10'!$S$34="No",$E43,ROUND(K43*1.03,3))</f>
        <v>5.8000000000000003E-2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>
        <f>IF($C$4=B$34,B35,IF(C4=C34,C35,IF(C4=D34,D35,IF(C4=E34,E35,IF(C4=F34,F35,IF(C4=G34,G35,IF(C4=H34,H35)))))))</f>
        <v>0.19500000000000001</v>
      </c>
      <c r="C47" s="4">
        <f>IF(C7=0,B47,IF(C4=B34,C35,IF(C4=C34,D35,IF(C4=D34,E35,IF(C4=E34,F35,IF(C4=F34,G35,IF(C4=G34,H35,IF(C4=H34,I35))))))))</f>
        <v>0.20100000000000001</v>
      </c>
      <c r="D47" s="4">
        <f>IF($D$4="",0,IF($D$4=$C$34,C35,IF($D$4=$D$34,D35,IF($D$4=$E$34,E35,IF($D$4=F34,$F$35,IF($D$4=G34,$G$35,IF($D$4=H34,$H$35)))))))</f>
        <v>0.20100000000000001</v>
      </c>
      <c r="E47" s="4">
        <f>IF($D$4="",0,IF($D$7=0,D47,IF($D$4=$B$34,C35,IF($D$4=$C$34,D35,IF($D$4=$D$34,E35,IF($D$4=$E$34,F35,IF($D$4=$F$34,G35,IF($D$4=$G$34,H35,IF($D$4=$H$34,I35,IF($D$4=$I$34,J35))))))))))</f>
        <v>0.20699999999999999</v>
      </c>
      <c r="F47" s="4">
        <f t="shared" ref="F47:F55" si="11">IF($E$4="",0,IF($E$4=$D$34,D35,IF($E$4=$E$34,E35,IF($E$4=$F$34,F35,IF($E$4=$G$34,G35,IF($E$4=$H$34,H35,IF($E$4=I34,I35,IF($E$4=$J$34,J35))))))))</f>
        <v>0.20699999999999999</v>
      </c>
      <c r="G47" s="4">
        <f>IF($E$4="",0,IF($E$7=0,F47,IF($E$4=$B$34,C35,IF($E$4=$C$34,D35,IF($E$4=$D$34,E35,IF($E$4=$E$34,F35,IF($E$4=$F$34,G35,IF($E$4=$G$34,H35,IF($E$4=$H$34,I35,IF($E$4=$I$34,J35))))))))))</f>
        <v>0.21299999999999999</v>
      </c>
      <c r="H47" s="4">
        <f t="shared" ref="H47:H55" si="12">IF($F$4="",0,IF($F$4=$D$34,D35,IF($F$4=$E$34,E35,IF($F$4=$F$34,F35,IF($F$4=$G$34,G35,IF($F$4=$H$34,H35,IF($F$4=$I$34,I35,IF($F$4=$J$34,J35,IF($F$4=$K$34,K35,)))))))))</f>
        <v>0.21299999999999999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0.219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0.219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0.22600000000000001</v>
      </c>
    </row>
    <row r="48" spans="1:12" x14ac:dyDescent="0.2">
      <c r="A48" s="4" t="s">
        <v>16</v>
      </c>
      <c r="B48" s="4">
        <f t="shared" ref="B48:B55" si="16">IF($C$4=$B$34,B36,IF($C$4=$C$34,C36,IF($C$4=$D$34,D36,IF($C$4=$E$34,E36,IF($C$4=$F$34,F36,IF($C$4=$G$34,G36,IF($C$4=$H$34,H36)))))))</f>
        <v>0.30499999999999999</v>
      </c>
      <c r="C48" s="4">
        <f t="shared" ref="C48:C55" si="17">IF($C$7=0,B48,IF($C$4=$B$34,C36,IF($C$4=$C$34,D36,IF($C$4=$D$34,E36,IF($C$4=$E$34,F36,IF($C$4=$F$34,G36,IF($C$4=$G$34,H36,IF($C$4=$H$34,I36))))))))</f>
        <v>0.314</v>
      </c>
      <c r="D48" s="4">
        <f t="shared" ref="D48:D55" si="18">IF($D$4="",0,IF($D$4=$C$34,C36,IF($D$4=$D$34,D36,IF($D$4=$E$34,E36,IF($D$4=$F$34,F36,IF($D$4=$G$34,G36,IF($D$4=$H$34,H36)))))))</f>
        <v>0.314</v>
      </c>
      <c r="E48" s="4">
        <f t="shared" ref="E48:E55" si="19">IF($D$4="",0,IF($D$7=0,D48,IF($D$4=$B$34,C36,IF($D$4=$C$34,D36,IF($D$4=$D$34,E36,IF($D$4=$E$34,F36,IF($D$4=$F$34,G36,IF($D$4=$G$34,H36,IF($D$4=$H$34,I36,IF($D$4=$I$34,J36))))))))))</f>
        <v>0.32300000000000001</v>
      </c>
      <c r="F48" s="4">
        <f t="shared" si="11"/>
        <v>0.32300000000000001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0.33300000000000002</v>
      </c>
      <c r="H48" s="4">
        <f t="shared" si="12"/>
        <v>0.33300000000000002</v>
      </c>
      <c r="I48" s="4">
        <f t="shared" si="13"/>
        <v>0.34300000000000003</v>
      </c>
      <c r="J48" s="4">
        <f t="shared" si="14"/>
        <v>0.34300000000000003</v>
      </c>
      <c r="K48" s="4">
        <f t="shared" si="15"/>
        <v>0.35299999999999998</v>
      </c>
    </row>
    <row r="49" spans="1:11" x14ac:dyDescent="0.2">
      <c r="A49" s="4" t="s">
        <v>30</v>
      </c>
      <c r="B49" s="4">
        <f t="shared" si="16"/>
        <v>0.38900000000000001</v>
      </c>
      <c r="C49" s="4">
        <f t="shared" si="17"/>
        <v>0.40100000000000002</v>
      </c>
      <c r="D49" s="4">
        <f t="shared" si="18"/>
        <v>0.40100000000000002</v>
      </c>
      <c r="E49" s="4">
        <f t="shared" si="19"/>
        <v>0.41299999999999998</v>
      </c>
      <c r="F49" s="4">
        <f t="shared" si="11"/>
        <v>0.41299999999999998</v>
      </c>
      <c r="G49" s="4">
        <f t="shared" si="20"/>
        <v>0.42499999999999999</v>
      </c>
      <c r="H49" s="4">
        <f t="shared" si="12"/>
        <v>0.42499999999999999</v>
      </c>
      <c r="I49" s="4">
        <f t="shared" si="13"/>
        <v>0.438</v>
      </c>
      <c r="J49" s="4">
        <f t="shared" si="14"/>
        <v>0.438</v>
      </c>
      <c r="K49" s="4">
        <f t="shared" si="15"/>
        <v>0.45100000000000001</v>
      </c>
    </row>
    <row r="50" spans="1:11" x14ac:dyDescent="0.2">
      <c r="A50" s="4" t="s">
        <v>20</v>
      </c>
      <c r="B50" s="4">
        <f t="shared" si="16"/>
        <v>0.51</v>
      </c>
      <c r="C50" s="4">
        <f t="shared" si="17"/>
        <v>0.52500000000000002</v>
      </c>
      <c r="D50" s="4">
        <f t="shared" si="18"/>
        <v>0.52500000000000002</v>
      </c>
      <c r="E50" s="4">
        <f t="shared" si="19"/>
        <v>0.54100000000000004</v>
      </c>
      <c r="F50" s="4">
        <f t="shared" si="11"/>
        <v>0.54100000000000004</v>
      </c>
      <c r="G50" s="4">
        <f t="shared" si="20"/>
        <v>0.55700000000000005</v>
      </c>
      <c r="H50" s="4">
        <f t="shared" si="12"/>
        <v>0.55700000000000005</v>
      </c>
      <c r="I50" s="4">
        <f t="shared" si="13"/>
        <v>0.57399999999999995</v>
      </c>
      <c r="J50" s="4">
        <f t="shared" si="14"/>
        <v>0.57399999999999995</v>
      </c>
      <c r="K50" s="4">
        <f t="shared" si="15"/>
        <v>0.59099999999999997</v>
      </c>
    </row>
    <row r="51" spans="1:11" x14ac:dyDescent="0.2">
      <c r="A51" s="4" t="s">
        <v>31</v>
      </c>
      <c r="B51" s="4">
        <f t="shared" si="16"/>
        <v>0.60699999999999998</v>
      </c>
      <c r="C51" s="4">
        <f t="shared" si="17"/>
        <v>0.625</v>
      </c>
      <c r="D51" s="4">
        <f t="shared" si="18"/>
        <v>0.625</v>
      </c>
      <c r="E51" s="4">
        <f t="shared" si="19"/>
        <v>0.64400000000000002</v>
      </c>
      <c r="F51" s="4">
        <f t="shared" si="11"/>
        <v>0.64400000000000002</v>
      </c>
      <c r="G51" s="4">
        <f t="shared" si="20"/>
        <v>0.66300000000000003</v>
      </c>
      <c r="H51" s="4">
        <f t="shared" si="12"/>
        <v>0.66300000000000003</v>
      </c>
      <c r="I51" s="4">
        <f t="shared" si="13"/>
        <v>0.68300000000000005</v>
      </c>
      <c r="J51" s="4">
        <f t="shared" si="14"/>
        <v>0.68300000000000005</v>
      </c>
      <c r="K51" s="4">
        <f t="shared" si="15"/>
        <v>0.70299999999999996</v>
      </c>
    </row>
    <row r="52" spans="1:11" x14ac:dyDescent="0.2">
      <c r="A52" s="4" t="s">
        <v>19</v>
      </c>
      <c r="B52" s="4">
        <f t="shared" si="16"/>
        <v>0.17299999999999999</v>
      </c>
      <c r="C52" s="4">
        <f t="shared" si="17"/>
        <v>0.17799999999999999</v>
      </c>
      <c r="D52" s="4">
        <f t="shared" si="18"/>
        <v>0.17799999999999999</v>
      </c>
      <c r="E52" s="4">
        <f t="shared" si="19"/>
        <v>0.183</v>
      </c>
      <c r="F52" s="4">
        <f t="shared" si="11"/>
        <v>0.183</v>
      </c>
      <c r="G52" s="4">
        <f t="shared" si="20"/>
        <v>0.188</v>
      </c>
      <c r="H52" s="4">
        <f t="shared" si="12"/>
        <v>0.188</v>
      </c>
      <c r="I52" s="4">
        <f t="shared" si="13"/>
        <v>0.19400000000000001</v>
      </c>
      <c r="J52" s="4">
        <f t="shared" si="14"/>
        <v>0.19400000000000001</v>
      </c>
      <c r="K52" s="4">
        <f t="shared" si="15"/>
        <v>0.2</v>
      </c>
    </row>
    <row r="53" spans="1:11" x14ac:dyDescent="0.2">
      <c r="A53" s="4" t="s">
        <v>32</v>
      </c>
      <c r="B53" s="4">
        <f t="shared" si="16"/>
        <v>1.4999999999999999E-2</v>
      </c>
      <c r="C53" s="4">
        <f t="shared" si="17"/>
        <v>1.4999999999999999E-2</v>
      </c>
      <c r="D53" s="20">
        <f t="shared" si="18"/>
        <v>1.4999999999999999E-2</v>
      </c>
      <c r="E53" s="20">
        <f t="shared" si="19"/>
        <v>1.4999999999999999E-2</v>
      </c>
      <c r="F53" s="20">
        <f t="shared" si="11"/>
        <v>1.4999999999999999E-2</v>
      </c>
      <c r="G53" s="20">
        <f t="shared" si="20"/>
        <v>1.4999999999999999E-2</v>
      </c>
      <c r="H53" s="4">
        <f t="shared" si="12"/>
        <v>1.4999999999999999E-2</v>
      </c>
      <c r="I53" s="4">
        <f t="shared" si="13"/>
        <v>1.4999999999999999E-2</v>
      </c>
      <c r="J53" s="4">
        <f t="shared" si="14"/>
        <v>1.4999999999999999E-2</v>
      </c>
      <c r="K53" s="4">
        <f t="shared" si="15"/>
        <v>1.4999999999999999E-2</v>
      </c>
    </row>
    <row r="54" spans="1:11" x14ac:dyDescent="0.2">
      <c r="A54" s="4" t="s">
        <v>33</v>
      </c>
      <c r="B54" s="4">
        <f t="shared" si="16"/>
        <v>9.1999999999999998E-2</v>
      </c>
      <c r="C54" s="4">
        <f t="shared" si="17"/>
        <v>9.5000000000000001E-2</v>
      </c>
      <c r="D54" s="4">
        <f t="shared" si="18"/>
        <v>9.5000000000000001E-2</v>
      </c>
      <c r="E54" s="4">
        <f t="shared" si="19"/>
        <v>9.8000000000000004E-2</v>
      </c>
      <c r="F54" s="4">
        <f t="shared" si="11"/>
        <v>9.8000000000000004E-2</v>
      </c>
      <c r="G54" s="4">
        <f t="shared" si="20"/>
        <v>0.10100000000000001</v>
      </c>
      <c r="H54" s="4">
        <f t="shared" si="12"/>
        <v>0.10100000000000001</v>
      </c>
      <c r="I54" s="4">
        <f t="shared" si="13"/>
        <v>0.104</v>
      </c>
      <c r="J54" s="4">
        <f t="shared" si="14"/>
        <v>0.104</v>
      </c>
      <c r="K54" s="4">
        <f t="shared" si="15"/>
        <v>0.107</v>
      </c>
    </row>
    <row r="55" spans="1:11" x14ac:dyDescent="0.2">
      <c r="A55" s="4" t="s">
        <v>22</v>
      </c>
      <c r="B55" s="4">
        <f t="shared" si="16"/>
        <v>4.7E-2</v>
      </c>
      <c r="C55" s="4">
        <f t="shared" si="17"/>
        <v>4.8000000000000001E-2</v>
      </c>
      <c r="D55" s="4">
        <f t="shared" si="18"/>
        <v>4.8000000000000001E-2</v>
      </c>
      <c r="E55" s="4">
        <f t="shared" si="19"/>
        <v>4.9000000000000002E-2</v>
      </c>
      <c r="F55" s="4">
        <f t="shared" si="11"/>
        <v>4.9000000000000002E-2</v>
      </c>
      <c r="G55" s="4">
        <f t="shared" si="20"/>
        <v>0.05</v>
      </c>
      <c r="H55" s="4">
        <f t="shared" si="12"/>
        <v>0.05</v>
      </c>
      <c r="I55" s="4">
        <f t="shared" si="13"/>
        <v>5.1999999999999998E-2</v>
      </c>
      <c r="J55" s="4">
        <f t="shared" si="14"/>
        <v>5.1999999999999998E-2</v>
      </c>
      <c r="K55" s="4">
        <f t="shared" si="15"/>
        <v>5.3999999999999999E-2</v>
      </c>
    </row>
    <row r="56" spans="1:11" x14ac:dyDescent="0.2">
      <c r="A56" s="4" t="s">
        <v>51</v>
      </c>
      <c r="B56" s="4">
        <f>B52</f>
        <v>0.17299999999999999</v>
      </c>
      <c r="C56" s="4">
        <f t="shared" ref="C56:K56" si="21">C52</f>
        <v>0.17799999999999999</v>
      </c>
      <c r="D56" s="4">
        <f t="shared" si="21"/>
        <v>0.17799999999999999</v>
      </c>
      <c r="E56" s="4">
        <f t="shared" si="21"/>
        <v>0.183</v>
      </c>
      <c r="F56" s="4">
        <f t="shared" si="21"/>
        <v>0.183</v>
      </c>
      <c r="G56" s="4">
        <f>G52</f>
        <v>0.188</v>
      </c>
      <c r="H56" s="4">
        <f t="shared" si="21"/>
        <v>0.188</v>
      </c>
      <c r="I56" s="4">
        <f t="shared" si="21"/>
        <v>0.19400000000000001</v>
      </c>
      <c r="J56" s="4">
        <f t="shared" si="21"/>
        <v>0.19400000000000001</v>
      </c>
      <c r="K56" s="4">
        <f t="shared" si="21"/>
        <v>0.2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str">
        <f t="shared" ref="B59:B66" si="22">IF(B47&lt;&gt;C47,(B47*100)&amp;"/"&amp;C47*100,B47*100)</f>
        <v>19.5/20.1</v>
      </c>
      <c r="C59" s="259" t="str">
        <f>IF(D4="","",(IF(D47&lt;&gt;E47,(D47*100)&amp;"/"&amp;E47*100,D47*100)))</f>
        <v>20.1/20.7</v>
      </c>
      <c r="D59" s="259" t="str">
        <f>IF(E4="","",(IF(F47&lt;&gt;G47,(F47*100)&amp;"/"&amp;G47*100,F47*100)))</f>
        <v>20.7/21.3</v>
      </c>
      <c r="E59" s="259" t="str">
        <f>IF(F4="","",(IF(H47&lt;&gt;I47,(H47*100)&amp;"/"&amp;I47*100,H47*100)))</f>
        <v>21.3/21.9</v>
      </c>
      <c r="F59" s="259" t="str">
        <f>IF(G4="","",(IF(J47&lt;&gt;K47,(J47*100)&amp;"/"&amp;K47*100,J47*100)))</f>
        <v>21.9/22.6</v>
      </c>
    </row>
    <row r="60" spans="1:11" x14ac:dyDescent="0.2">
      <c r="A60" s="4" t="s">
        <v>16</v>
      </c>
      <c r="B60" s="259" t="str">
        <f t="shared" si="22"/>
        <v>30.5/31.4</v>
      </c>
      <c r="C60" s="259" t="str">
        <f>IF(D4="","",(IF(D48&lt;&gt;E48,(D48*100)&amp;"/"&amp;E48*100,D48*100)))</f>
        <v>31.4/32.3</v>
      </c>
      <c r="D60" s="259" t="str">
        <f>IF(E4="","",(IF(F48&lt;&gt;G48,(F48*100)&amp;"/"&amp;G48*100,F48*100)))</f>
        <v>32.3/33.3</v>
      </c>
      <c r="E60" s="259" t="str">
        <f>IF(F4="","",(IF(H48&lt;&gt;I48,(H48*100)&amp;"/"&amp;I48*100,H48*100)))</f>
        <v>33.3/34.3</v>
      </c>
      <c r="F60" s="259" t="str">
        <f>IF(G4="","",(IF(J48&lt;&gt;K48,(J48*100)&amp;"/"&amp;K48*100,J48*100)))</f>
        <v>34.3/35.3</v>
      </c>
    </row>
    <row r="61" spans="1:11" x14ac:dyDescent="0.2">
      <c r="A61" s="4" t="s">
        <v>30</v>
      </c>
      <c r="B61" s="259" t="str">
        <f t="shared" si="22"/>
        <v>38.9/40.1</v>
      </c>
      <c r="C61" s="259" t="str">
        <f>IF(D4="","",(IF(D49&lt;&gt;E49,(D49*100)&amp;"/"&amp;E49*100,D49*100)))</f>
        <v>40.1/41.3</v>
      </c>
      <c r="D61" s="259" t="str">
        <f>IF(E4="","",(IF(F49&lt;&gt;G49,(F49*100)&amp;"/"&amp;G49*100,F49*100)))</f>
        <v>41.3/42.5</v>
      </c>
      <c r="E61" s="259" t="str">
        <f>IF(F4="","",(IF(H49&lt;&gt;I49,(H49*100)&amp;"/"&amp;I49*100,H49*100)))</f>
        <v>42.5/43.8</v>
      </c>
      <c r="F61" s="259" t="str">
        <f>IF(G4="","",(IF(J49&lt;&gt;K49,(J49*100)&amp;"/"&amp;K49*100,J49*100)))</f>
        <v>43.8/45.1</v>
      </c>
    </row>
    <row r="62" spans="1:11" x14ac:dyDescent="0.2">
      <c r="A62" s="4" t="s">
        <v>20</v>
      </c>
      <c r="B62" s="259" t="str">
        <f t="shared" si="22"/>
        <v>51/52.5</v>
      </c>
      <c r="C62" s="259" t="str">
        <f>IF(D4="","",(IF(D50&lt;&gt;E50,(D50*100)&amp;"/"&amp;E50*100,D50*100)))</f>
        <v>52.5/54.1</v>
      </c>
      <c r="D62" s="259" t="str">
        <f>IF(E4="","",(IF(F50&lt;&gt;G50,(F50*100)&amp;"/"&amp;G50*100,F50*100)))</f>
        <v>54.1/55.7</v>
      </c>
      <c r="E62" s="259" t="str">
        <f>IF(F4="","",(IF(H50&lt;&gt;I50,(H50*100)&amp;"/"&amp;I50*100,H50*100)))</f>
        <v>55.7/57.4</v>
      </c>
      <c r="F62" s="259" t="str">
        <f>IF(G4="","",(IF(J50&lt;&gt;K50,(J50*100)&amp;"/"&amp;K50*100,J50*100)))</f>
        <v>57.4/59.1</v>
      </c>
    </row>
    <row r="63" spans="1:11" x14ac:dyDescent="0.2">
      <c r="A63" s="4" t="s">
        <v>31</v>
      </c>
      <c r="B63" s="259" t="str">
        <f t="shared" si="22"/>
        <v>60.7/62.5</v>
      </c>
      <c r="C63" s="259" t="str">
        <f>IF(D4="","",(IF(D51&lt;&gt;E51,(D51*100)&amp;"/"&amp;E51*100,D51*100)))</f>
        <v>62.5/64.4</v>
      </c>
      <c r="D63" s="259" t="str">
        <f>IF(E4="","",(IF(F51&lt;&gt;G51,(F51*100)&amp;"/"&amp;G51*100,F51*100)))</f>
        <v>64.4/66.3</v>
      </c>
      <c r="E63" s="259" t="str">
        <f>IF(F4="","",(IF(H51&lt;&gt;I51,(H51*100)&amp;"/"&amp;I51*100,H51*100)))</f>
        <v>66.3/68.3</v>
      </c>
      <c r="F63" s="259" t="str">
        <f>IF(G4="","",(IF(J51&lt;&gt;K51,(J51*100)&amp;"/"&amp;K51*100,J51*100)))</f>
        <v>68.3/70.3</v>
      </c>
    </row>
    <row r="64" spans="1:11" x14ac:dyDescent="0.2">
      <c r="A64" s="4" t="s">
        <v>19</v>
      </c>
      <c r="B64" s="259" t="str">
        <f t="shared" si="22"/>
        <v>17.3/17.8</v>
      </c>
      <c r="C64" s="259" t="str">
        <f>IF(D4="","",(IF(D4="","",(IF(D52&lt;&gt;E52,(D52*100)&amp;"/"&amp;E52*100,D52*100)))))</f>
        <v>17.8/18.3</v>
      </c>
      <c r="D64" s="259" t="str">
        <f>IF(E4="","",(IF(F52&lt;&gt;G52,(F52*100)&amp;"/"&amp;G52*100,F52*100)))</f>
        <v>18.3/18.8</v>
      </c>
      <c r="E64" s="259" t="str">
        <f>IF(F4="","",(IF(H52&lt;&gt;I52,(H52*100)&amp;"/"&amp;I52*100,H52*100)))</f>
        <v>18.8/19.4</v>
      </c>
      <c r="F64" s="259" t="str">
        <f>IF(G4="","",(IF(J52&lt;&gt;K52,(J52*100)&amp;"/"&amp;K52*100,J52*100)))</f>
        <v>19.4/20</v>
      </c>
    </row>
    <row r="65" spans="1:12" x14ac:dyDescent="0.2">
      <c r="A65" s="4" t="s">
        <v>32</v>
      </c>
      <c r="B65" s="259">
        <f t="shared" si="22"/>
        <v>1.5</v>
      </c>
      <c r="C65" s="259">
        <f>IF(D4="","",(IF(D53&lt;&gt;E53,(D53*100)&amp;"/"&amp;E53*100,D53*100)))</f>
        <v>1.5</v>
      </c>
      <c r="D65" s="259">
        <f>IF(E4="","",(IF(F53&lt;&gt;G53,(F53*100)&amp;"/"&amp;G53*100,F53*100)))</f>
        <v>1.5</v>
      </c>
      <c r="E65" s="259">
        <f>IF(F4="","",(IF(H53&lt;&gt;I53,(H53*100)&amp;"/"&amp;I53*100,H53*100)))</f>
        <v>1.5</v>
      </c>
      <c r="F65" s="259">
        <f>IF(G4="","",(IF(J53&lt;&gt;K53,(J53*100)&amp;"/"&amp;K53*100,J53*100)))</f>
        <v>1.5</v>
      </c>
    </row>
    <row r="66" spans="1:12" x14ac:dyDescent="0.2">
      <c r="A66" s="4" t="s">
        <v>33</v>
      </c>
      <c r="B66" s="259" t="str">
        <f t="shared" si="22"/>
        <v>9.2/9.5</v>
      </c>
      <c r="C66" s="259" t="str">
        <f>IF(D4="","",(IF(D54&lt;&gt;E54,(D54*100)&amp;"/"&amp;E54*100,D54*100)))</f>
        <v>9.5/9.8</v>
      </c>
      <c r="D66" s="259" t="str">
        <f>IF(E4="","",(IF(F54&lt;&gt;G54,(F54*100)&amp;"/"&amp;G54*100,F54*100)))</f>
        <v>9.8/10.1</v>
      </c>
      <c r="E66" s="259" t="str">
        <f>IF(F4="","",(IF(H54&lt;&gt;I54,(H54*100)&amp;"/"&amp;I54*100,H54*100)))</f>
        <v>10.1/10.4</v>
      </c>
      <c r="F66" s="259" t="str">
        <f>IF(G4="","",(IF(J54&lt;&gt;K54,(J54*100)&amp;"/"&amp;K54*100,J54*100)))</f>
        <v>10.4/10.7</v>
      </c>
    </row>
    <row r="67" spans="1:12" x14ac:dyDescent="0.2">
      <c r="A67" s="4" t="s">
        <v>22</v>
      </c>
      <c r="B67" s="259" t="str">
        <f>IF(B55&lt;&gt;C55,(B55*100)&amp;"/"&amp;C55*100,B55*100)</f>
        <v>4.7/4.8</v>
      </c>
      <c r="C67" s="259" t="str">
        <f>IF(D4="","",(IF(D55&lt;&gt;E55,(D55*100)&amp;"/"&amp;E55*100,D55*100)))</f>
        <v>4.8/4.9</v>
      </c>
      <c r="D67" s="259" t="str">
        <f>IF(E4="","",(IF(F55&lt;&gt;G55,(F55*100)&amp;"/"&amp;G55*100,F55*100)))</f>
        <v>4.9/5</v>
      </c>
      <c r="E67" s="259" t="str">
        <f>IF(F4="","",(IF(H55&lt;&gt;I55,(H55*100)&amp;"/"&amp;I55*100,H55*100)))</f>
        <v>5/5.2</v>
      </c>
      <c r="F67" s="259" t="str">
        <f>IF(G4="","",(IF(J55&lt;&gt;K55,(J55*100)&amp;"/"&amp;K55*100,J55*100)))</f>
        <v>5.2/5.4</v>
      </c>
    </row>
    <row r="68" spans="1:12" x14ac:dyDescent="0.2">
      <c r="A68" s="4" t="s">
        <v>141</v>
      </c>
      <c r="B68" s="259" t="str">
        <f>IF(B56&lt;&gt;C56,(B56*100)&amp;"/"&amp;C56*100,B56*100)</f>
        <v>17.3/17.8</v>
      </c>
      <c r="C68" s="259" t="str">
        <f>IF(D4=0,"",(IF(D56&lt;&gt;E56,(D56*100)&amp;"/"&amp;E56*100,D56*100)))</f>
        <v>17.8/18.3</v>
      </c>
      <c r="D68" s="259" t="str">
        <f>IF(E4=0,"",(IF(F56&lt;&gt;G56,(F56*100)&amp;"/"&amp;G56*100,F56*100)))</f>
        <v>18.3/18.8</v>
      </c>
      <c r="E68" s="259" t="str">
        <f>IF(F4=0,"",(IF(H56&lt;&gt;I56,(H56*100)&amp;"/"&amp;I56*100,H56*100)))</f>
        <v>18.8/19.4</v>
      </c>
      <c r="F68" s="259" t="str">
        <f>IF(G4=0,"",(IF(J56&lt;&gt;K56,(J56*100)&amp;"/"&amp;K56*100,J56*100)))</f>
        <v>19.4/20</v>
      </c>
    </row>
    <row r="69" spans="1:12" x14ac:dyDescent="0.2">
      <c r="A69" s="4" t="s">
        <v>142</v>
      </c>
      <c r="B69" s="259">
        <f>IF(C13&lt;=0.5,C56*100,B68)</f>
        <v>17.8</v>
      </c>
      <c r="C69" s="259">
        <f>IF(D13&lt;=0.5,E56*100,C68)</f>
        <v>18.3</v>
      </c>
      <c r="D69" s="259">
        <f>IF(E13&lt;=0.5,G56*100,D68)</f>
        <v>18.8</v>
      </c>
      <c r="E69" s="259">
        <f>IF(F13&lt;=0.5,I56*100,E68)</f>
        <v>19.400000000000002</v>
      </c>
      <c r="F69" s="259">
        <f>IF(G13=0.5,K56*100,F68)</f>
        <v>20</v>
      </c>
    </row>
    <row r="70" spans="1:12" x14ac:dyDescent="0.2">
      <c r="A70" s="4" t="s">
        <v>143</v>
      </c>
      <c r="B70" s="259">
        <f>IF(C13=1,C56*100,B69)</f>
        <v>17.8</v>
      </c>
      <c r="C70" s="259">
        <f>IF(D13=1,E56*100,C69)</f>
        <v>18.3</v>
      </c>
      <c r="D70" s="259">
        <f>IF(E13=1,G56*100,D69)</f>
        <v>18.8</v>
      </c>
      <c r="E70" s="259">
        <f>IF(F13=0.5,I56*100,E69)</f>
        <v>19.400000000000002</v>
      </c>
      <c r="F70" s="259" t="str">
        <f>IF(G13=1,K56*100,F68)</f>
        <v>19.4/20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2">
      <c r="A89" s="4" t="s">
        <v>91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>
        <f>'R10'!$L$210</f>
        <v>0.2</v>
      </c>
      <c r="C91" s="26">
        <f>'R10'!$L$210</f>
        <v>0.2</v>
      </c>
      <c r="D91" s="26">
        <f>'R10'!$L$210</f>
        <v>0.2</v>
      </c>
      <c r="E91" s="26">
        <f>'R10'!$L$210</f>
        <v>0.2</v>
      </c>
      <c r="F91" s="26">
        <f>'R10'!$L$210</f>
        <v>0.2</v>
      </c>
      <c r="G91" s="26">
        <f>'R10'!$L$210</f>
        <v>0.2</v>
      </c>
      <c r="H91" s="26">
        <f>'R10'!$L$210</f>
        <v>0.2</v>
      </c>
      <c r="I91" s="26">
        <f>'R10'!$L$210</f>
        <v>0.2</v>
      </c>
      <c r="J91" s="26">
        <f>'R10'!$L$210</f>
        <v>0.2</v>
      </c>
      <c r="K91" s="26">
        <f>'R10'!$L$210</f>
        <v>0.2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>
        <f>IF('R10'!F208='W10'!A86,'W10'!B86,IF('R10'!F208='W10'!A87,'W10'!B87,IF('R10'!F208='W10'!A88,'W10'!B88,IF('R10'!F208='W10'!A89,'W10'!B89,IF('R10'!F208='W10'!A90,'W10'!B90,IF('R10'!F208='W10'!A91,'W10'!B91))))))</f>
        <v>0.56999999999999995</v>
      </c>
      <c r="C97" s="37">
        <f>IF('R10'!F208='W10'!A86,'W10'!C86,IF('R10'!F208='W10'!A87,'W10'!C87,IF('R10'!F208='W10'!A88,'W10'!C88,IF('R10'!F208='W10'!A89,'W10'!C89,IF('R10'!F208='W10'!A90,'W10'!C90,IF('R10'!F208='W10'!A91,'W10'!C91))))))</f>
        <v>0.56999999999999995</v>
      </c>
      <c r="D97" s="37">
        <f>IF('R10'!$F$208='W10'!$A$86,'W10'!D86,IF('R10'!$F$208='W10'!$A$87,'W10'!D87,IF('R10'!$F$208='W10'!$A$88,'W10'!D88,IF('R10'!$F$208='W10'!$A$89,'W10'!D89,IF('R10'!$F$208='W10'!$A$90,'W10'!D90,IF('R10'!$F$208='W10'!$A$91,'W10'!D91))))))</f>
        <v>0.56999999999999995</v>
      </c>
      <c r="E97" s="37">
        <f>IF('R10'!$F$208='W10'!$A$86,'W10'!E86,IF('R10'!$F$208='W10'!$A$87,'W10'!E87,IF('R10'!$F$208='W10'!$A$88,'W10'!E88,IF('R10'!$F$208='W10'!$A$89,'W10'!E89,IF('R10'!$F$208='W10'!$A$90,'W10'!E90,IF('R10'!$F$208='W10'!$A$91,'W10'!E91))))))</f>
        <v>0.56999999999999995</v>
      </c>
      <c r="F97" s="37">
        <f>IF('R10'!$F$208='W10'!$A$86,'W10'!F86,IF('R10'!$F$208='W10'!$A$87,'W10'!F87,IF('R10'!$F$208='W10'!$A$88,'W10'!F88,IF('R10'!$F$208='W10'!$A$89,'W10'!F89,IF('R10'!$F$208='W10'!$A$90,'W10'!F90,IF('R10'!$F$208='W10'!$A$91,'W10'!F91))))))</f>
        <v>0.56999999999999995</v>
      </c>
      <c r="G97" s="37">
        <f>IF('R10'!$F$208='W10'!$A$86,'W10'!G86,IF('R10'!$F$208='W10'!$A$87,'W10'!G87,IF('R10'!$F$208='W10'!$A$88,'W10'!G88,IF('R10'!$F$208='W10'!$A$89,'W10'!G89,IF('R10'!$F$208='W10'!$A$90,'W10'!G90,IF('R10'!$F$208='W10'!$A$91,'W10'!G91))))))</f>
        <v>0.56999999999999995</v>
      </c>
      <c r="H97" s="37">
        <f>IF('R10'!$F$208='W10'!$A$86,'W10'!H86,IF('R10'!$F$208='W10'!$A$87,'W10'!H87,IF('R10'!$F$208='W10'!$A$88,'W10'!H88,IF('R10'!$F$208='W10'!$A$89,'W10'!H89,IF('R10'!$F$208='W10'!$A$90,'W10'!H90,IF('R10'!$F$208='W10'!$A$91,'W10'!H91))))))</f>
        <v>0.56999999999999995</v>
      </c>
      <c r="I97" s="37">
        <f>IF('R10'!$F$208='W10'!$A$86,'W10'!I86,IF('R10'!$F$208='W10'!$A$87,'W10'!I87,IF('R10'!$F$208='W10'!$A$88,'W10'!I88,IF('R10'!$F$208='W10'!$A$89,'W10'!I89,IF('R10'!$F$208='W10'!$A$90,'W10'!I90,IF('R10'!$F$208='W10'!$A$91,'W10'!I91))))))</f>
        <v>0.56999999999999995</v>
      </c>
      <c r="J97" s="37">
        <f>IF('R10'!$F$208='W10'!$A$86,'W10'!J86,IF('R10'!$F$208='W10'!$A$87,'W10'!J87,IF('R10'!$F$208='W10'!$A$88,'W10'!J88,IF('R10'!$F$208='W10'!$A$89,'W10'!J89,IF('R10'!$F$208='W10'!$A$90,'W10'!J90,IF('R10'!$F$208='W10'!$A$91,'W10'!J91))))))</f>
        <v>0.56999999999999995</v>
      </c>
      <c r="K97" s="37">
        <f>IF('R10'!$F$208='W10'!$A$86,'W10'!K86,IF('R10'!$F$208='W10'!$A$87,'W10'!K87,IF('R10'!$F$208='W10'!$A$88,'W10'!K88,IF('R10'!$F$208='W10'!$A$89,'W10'!K89,IF('R10'!$F$208='W10'!$A$90,'W10'!K90,IF('R10'!$F$208='W10'!$A$91,'W10'!K91))))))</f>
        <v>0.56999999999999995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str">
        <f>IF(B97=C97,B97*100&amp;"%",B97*100&amp;"%"&amp;"/"&amp;C97*100&amp;"%")</f>
        <v>57%</v>
      </c>
      <c r="C99" s="314"/>
      <c r="D99" s="314" t="str">
        <f>IF(D97=E97,D97*100&amp;"%",D97*100&amp;"%"&amp;"/"&amp;E97*100&amp;"%")</f>
        <v>57%</v>
      </c>
      <c r="E99" s="314"/>
      <c r="F99" s="314" t="str">
        <f>IF(F97=G97,F97*100&amp;"%",F97*100&amp;"%"&amp;"/"&amp;G97*100&amp;"%")</f>
        <v>57%</v>
      </c>
      <c r="G99" s="314"/>
      <c r="H99" s="307" t="str">
        <f>IF(H97=I97,H97*100&amp;"%",H97*100&amp;"%"&amp;"/"&amp;I97*100&amp;"%")</f>
        <v>57%</v>
      </c>
      <c r="I99" s="308"/>
      <c r="J99" s="307" t="str">
        <f>IF(J97=K97,J97*100&amp;"%",J97*100&amp;"%"&amp;"/"&amp;K97*100&amp;"%")</f>
        <v>57%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>
        <f>'R10'!B126</f>
        <v>0</v>
      </c>
      <c r="B104" s="4" t="str">
        <f>IF('R10'!K126="non-UC","No","Yes")</f>
        <v>No</v>
      </c>
      <c r="C104" s="4">
        <f>'R10'!N126+(IF('R10'!$K127="IC of Above",'R10'!N127,0))</f>
        <v>0</v>
      </c>
      <c r="D104" s="4">
        <f>'R10'!O126+(IF('R10'!$K127="IC of Above",'R10'!O127,0))</f>
        <v>0</v>
      </c>
      <c r="E104" s="4">
        <f>'R10'!P126+(IF('R10'!$K127="IC of Above",'R10'!P127,0))</f>
        <v>0</v>
      </c>
      <c r="F104" s="4">
        <f>'R10'!Q126+(IF('R10'!$K127="IC of Above",'R10'!Q127,0))</f>
        <v>0</v>
      </c>
      <c r="G104" s="4">
        <f>'R10'!R126+(IF('R10'!$K127="IC of Above",'R10'!R127,0))</f>
        <v>0</v>
      </c>
      <c r="H104" s="4">
        <f t="shared" ref="H104:H118" si="23">SUM(C104:G104)</f>
        <v>0</v>
      </c>
    </row>
    <row r="105" spans="1:11" x14ac:dyDescent="0.2">
      <c r="A105" s="40">
        <f>'R10'!B127</f>
        <v>0</v>
      </c>
      <c r="B105" s="4" t="str">
        <f>IF('R10'!K127="non-UC","No",IF('R10'!K27="IC of Above","Yes","Yes"))</f>
        <v>No</v>
      </c>
      <c r="C105" s="4">
        <f>IF('R10'!$K127="IC of Above",0,'R10'!N127+IF('R10'!$K128="IC of Above",'R10'!N128,0))</f>
        <v>0</v>
      </c>
      <c r="D105" s="4">
        <f>IF('R10'!$K127="IC of Above",0,'R10'!O127+IF('R10'!$K128="IC of Above",'R10'!O128,0))</f>
        <v>0</v>
      </c>
      <c r="E105" s="4">
        <f>IF('R10'!$K127="IC of Above",0,'R10'!P127+IF('R10'!$K128="IC of Above",'R10'!P128,0))</f>
        <v>0</v>
      </c>
      <c r="F105" s="4">
        <f>IF('R10'!$K127="IC of Above",0,'R10'!Q127+IF('R10'!$K128="IC of Above",'R10'!Q128,0))</f>
        <v>0</v>
      </c>
      <c r="G105" s="4">
        <f>IF('R10'!$K127="IC of Above",0,'R10'!R127+IF('R10'!$K128="IC of Above",'R10'!R128,0))</f>
        <v>0</v>
      </c>
      <c r="H105" s="4">
        <f t="shared" si="23"/>
        <v>0</v>
      </c>
    </row>
    <row r="106" spans="1:11" x14ac:dyDescent="0.2">
      <c r="A106" s="40">
        <f>'R10'!B128</f>
        <v>0</v>
      </c>
      <c r="B106" s="4" t="str">
        <f>IF('R10'!K128="non-UC","No","Yes")</f>
        <v>No</v>
      </c>
      <c r="C106" s="4">
        <f>IF('R10'!$K128="IC of Above",0,'R10'!N128+IF('R10'!$K129="IC of Above",'R10'!N129,0))</f>
        <v>0</v>
      </c>
      <c r="D106" s="4">
        <f>IF('R10'!$K128="IC of Above",0,'R10'!O128+IF('R10'!$K129="IC of Above",'R10'!O129,0))</f>
        <v>0</v>
      </c>
      <c r="E106" s="4">
        <f>IF('R10'!$K128="IC of Above",0,'R10'!P128+IF('R10'!$K129="IC of Above",'R10'!P129,0))</f>
        <v>0</v>
      </c>
      <c r="F106" s="4">
        <f>IF('R10'!$K128="IC of Above",0,'R10'!Q128+IF('R10'!$K129="IC of Above",'R10'!Q129,0))</f>
        <v>0</v>
      </c>
      <c r="G106" s="4">
        <f>IF('R10'!$K128="IC of Above",0,'R10'!R128+IF('R10'!$K129="IC of Above",'R10'!R129,0))</f>
        <v>0</v>
      </c>
      <c r="H106" s="4">
        <f t="shared" si="23"/>
        <v>0</v>
      </c>
    </row>
    <row r="107" spans="1:11" x14ac:dyDescent="0.2">
      <c r="A107" s="40">
        <f>'R10'!B129</f>
        <v>0</v>
      </c>
      <c r="B107" s="4" t="str">
        <f>IF('R10'!K129="non-UC","No","Yes")</f>
        <v>No</v>
      </c>
      <c r="C107" s="4">
        <f>IF('R10'!$K129="IC of Above",0,'R10'!N129+IF('R10'!$K130="IC of Above",'R10'!N130,0))</f>
        <v>0</v>
      </c>
      <c r="D107" s="4">
        <f>IF('R10'!$K129="IC of Above",0,'R10'!O129+IF('R10'!$K130="IC of Above",'R10'!O130,0))</f>
        <v>0</v>
      </c>
      <c r="E107" s="4">
        <f>IF('R10'!$K129="IC of Above",0,'R10'!P129+IF('R10'!$K130="IC of Above",'R10'!P130,0))</f>
        <v>0</v>
      </c>
      <c r="F107" s="4">
        <f>IF('R10'!$K129="IC of Above",0,'R10'!Q129+IF('R10'!$K130="IC of Above",'R10'!Q130,0))</f>
        <v>0</v>
      </c>
      <c r="G107" s="4">
        <f>IF('R10'!$K129="IC of Above",0,'R10'!R129+IF('R10'!$K130="IC of Above",'R10'!R130,0))</f>
        <v>0</v>
      </c>
      <c r="H107" s="4">
        <f t="shared" si="23"/>
        <v>0</v>
      </c>
    </row>
    <row r="108" spans="1:11" x14ac:dyDescent="0.2">
      <c r="A108" s="40">
        <f>'R10'!B130</f>
        <v>0</v>
      </c>
      <c r="B108" s="4" t="str">
        <f>IF('R10'!K130="non-UC","No","Yes")</f>
        <v>No</v>
      </c>
      <c r="C108" s="4">
        <f>IF('R10'!$K130="IC of Above",0,'R10'!N130+IF('R10'!$K131="IC of Above",'R10'!N131,0))</f>
        <v>0</v>
      </c>
      <c r="D108" s="4">
        <f>IF('R10'!$K130="IC of Above",0,'R10'!O130+IF('R10'!$K131="IC of Above",'R10'!O131,0))</f>
        <v>0</v>
      </c>
      <c r="E108" s="4">
        <f>IF('R10'!$K130="IC of Above",0,'R10'!P130+IF('R10'!$K131="IC of Above",'R10'!P131,0))</f>
        <v>0</v>
      </c>
      <c r="F108" s="4">
        <f>IF('R10'!$K130="IC of Above",0,'R10'!Q130+IF('R10'!$K131="IC of Above",'R10'!Q131,0))</f>
        <v>0</v>
      </c>
      <c r="G108" s="4">
        <f>IF('R10'!$K130="IC of Above",0,'R10'!R130+IF('R10'!$K131="IC of Above",'R10'!R131,0))</f>
        <v>0</v>
      </c>
      <c r="H108" s="4">
        <f t="shared" si="23"/>
        <v>0</v>
      </c>
    </row>
    <row r="109" spans="1:11" x14ac:dyDescent="0.2">
      <c r="A109" s="40">
        <f>'R10'!B131</f>
        <v>0</v>
      </c>
      <c r="B109" s="4" t="str">
        <f>IF('R10'!K131="non-UC","No","Yes")</f>
        <v>No</v>
      </c>
      <c r="C109" s="4">
        <f>IF('R10'!$K131="IC of Above",0,'R10'!N131+IF('R10'!$K132="IC of Above",'R10'!N132,0))</f>
        <v>0</v>
      </c>
      <c r="D109" s="4">
        <f>IF('R10'!$K131="IC of Above",0,'R10'!O131+IF('R10'!$K132="IC of Above",'R10'!O132,0))</f>
        <v>0</v>
      </c>
      <c r="E109" s="4">
        <f>IF('R10'!$K131="IC of Above",0,'R10'!P131+IF('R10'!$K132="IC of Above",'R10'!P132,0))</f>
        <v>0</v>
      </c>
      <c r="F109" s="4">
        <f>IF('R10'!$K131="IC of Above",0,'R10'!Q131+IF('R10'!$K132="IC of Above",'R10'!Q132,0))</f>
        <v>0</v>
      </c>
      <c r="G109" s="4">
        <f>IF('R10'!$K131="IC of Above",0,'R10'!R131+IF('R10'!$K132="IC of Above",'R10'!R132,0))</f>
        <v>0</v>
      </c>
      <c r="H109" s="4">
        <f t="shared" si="23"/>
        <v>0</v>
      </c>
    </row>
    <row r="110" spans="1:11" x14ac:dyDescent="0.2">
      <c r="A110" s="40">
        <f>'R10'!B132</f>
        <v>0</v>
      </c>
      <c r="B110" s="4" t="str">
        <f>IF('R10'!K132="non-UC","No","Yes")</f>
        <v>No</v>
      </c>
      <c r="C110" s="4">
        <f>IF('R10'!$K132="IC of Above",0,'R10'!N132+IF('R10'!$K133="IC of Above",'R10'!N133,0))</f>
        <v>0</v>
      </c>
      <c r="D110" s="4">
        <f>IF('R10'!$K132="IC of Above",0,'R10'!O132+IF('R10'!$K133="IC of Above",'R10'!O133,0))</f>
        <v>0</v>
      </c>
      <c r="E110" s="4">
        <f>IF('R10'!$K132="IC of Above",0,'R10'!P132+IF('R10'!$K133="IC of Above",'R10'!P133,0))</f>
        <v>0</v>
      </c>
      <c r="F110" s="4">
        <f>IF('R10'!$K132="IC of Above",0,'R10'!Q132+IF('R10'!$K133="IC of Above",'R10'!Q133,0))</f>
        <v>0</v>
      </c>
      <c r="G110" s="4">
        <f>IF('R10'!$K132="IC of Above",0,'R10'!R132+IF('R10'!$K133="IC of Above",'R10'!R133,0))</f>
        <v>0</v>
      </c>
      <c r="H110" s="4">
        <f t="shared" si="23"/>
        <v>0</v>
      </c>
    </row>
    <row r="111" spans="1:11" x14ac:dyDescent="0.2">
      <c r="A111" s="40">
        <f>'R10'!B133</f>
        <v>0</v>
      </c>
      <c r="B111" s="4" t="str">
        <f>IF('R10'!K133="non-UC","No","Yes")</f>
        <v>No</v>
      </c>
      <c r="C111" s="4">
        <f>IF('R10'!$K133="IC of Above",0,'R10'!N133+IF('R10'!$K134="IC of Above",'R10'!N134,0))</f>
        <v>0</v>
      </c>
      <c r="D111" s="4">
        <f>IF('R10'!$K133="IC of Above",0,'R10'!O133+IF('R10'!$K134="IC of Above",'R10'!O134,0))</f>
        <v>0</v>
      </c>
      <c r="E111" s="4">
        <f>IF('R10'!$K133="IC of Above",0,'R10'!P133+IF('R10'!$K134="IC of Above",'R10'!P134,0))</f>
        <v>0</v>
      </c>
      <c r="F111" s="4">
        <f>IF('R10'!$K133="IC of Above",0,'R10'!Q133+IF('R10'!$K134="IC of Above",'R10'!Q134,0))</f>
        <v>0</v>
      </c>
      <c r="G111" s="4">
        <f>IF('R10'!$K133="IC of Above",0,'R10'!R133+IF('R10'!$K134="IC of Above",'R10'!R134,0))</f>
        <v>0</v>
      </c>
      <c r="H111" s="4">
        <f t="shared" si="23"/>
        <v>0</v>
      </c>
    </row>
    <row r="112" spans="1:11" x14ac:dyDescent="0.2">
      <c r="A112" s="40">
        <f>'R10'!B134</f>
        <v>0</v>
      </c>
      <c r="B112" s="4" t="str">
        <f>IF('R10'!K134="non-UC","No","Yes")</f>
        <v>No</v>
      </c>
      <c r="C112" s="4">
        <f>IF('R10'!$K134="IC of Above",0,'R10'!N134+IF('R10'!$K135="IC of Above",'R10'!N135,0))</f>
        <v>0</v>
      </c>
      <c r="D112" s="4">
        <f>IF('R10'!$K134="IC of Above",0,'R10'!O134+IF('R10'!$K135="IC of Above",'R10'!O135,0))</f>
        <v>0</v>
      </c>
      <c r="E112" s="4">
        <f>IF('R10'!$K134="IC of Above",0,'R10'!P134+IF('R10'!$K135="IC of Above",'R10'!P135,0))</f>
        <v>0</v>
      </c>
      <c r="F112" s="4">
        <f>IF('R10'!$K134="IC of Above",0,'R10'!Q134+IF('R10'!$K135="IC of Above",'R10'!Q135,0))</f>
        <v>0</v>
      </c>
      <c r="G112" s="4">
        <f>IF('R10'!$K134="IC of Above",0,'R10'!R134+IF('R10'!$K135="IC of Above",'R10'!R135,0))</f>
        <v>0</v>
      </c>
      <c r="H112" s="4">
        <f t="shared" si="23"/>
        <v>0</v>
      </c>
    </row>
    <row r="113" spans="1:8" x14ac:dyDescent="0.2">
      <c r="A113" s="40">
        <f>'R10'!B135</f>
        <v>0</v>
      </c>
      <c r="B113" s="4" t="str">
        <f>IF('R10'!K135="non-UC","No","Yes")</f>
        <v>No</v>
      </c>
      <c r="C113" s="4">
        <f>IF('R10'!$K135="IC of Above",0,'R10'!N135+IF('R10'!$K136="IC of Above",'R10'!N136,0))</f>
        <v>0</v>
      </c>
      <c r="D113" s="4">
        <f>IF('R10'!$K135="IC of Above",0,'R10'!O135+IF('R10'!$K136="IC of Above",'R10'!O136,0))</f>
        <v>0</v>
      </c>
      <c r="E113" s="4">
        <f>IF('R10'!$K135="IC of Above",0,'R10'!P135+IF('R10'!$K136="IC of Above",'R10'!P136,0))</f>
        <v>0</v>
      </c>
      <c r="F113" s="4">
        <f>IF('R10'!$K135="IC of Above",0,'R10'!Q135+IF('R10'!$K136="IC of Above",'R10'!Q136,0))</f>
        <v>0</v>
      </c>
      <c r="G113" s="4">
        <f>IF('R10'!$K135="IC of Above",0,'R10'!R135+IF('R10'!$K136="IC of Above",'R10'!R136,0))</f>
        <v>0</v>
      </c>
      <c r="H113" s="4">
        <f t="shared" si="23"/>
        <v>0</v>
      </c>
    </row>
    <row r="114" spans="1:8" x14ac:dyDescent="0.2">
      <c r="A114" s="40">
        <f>'R10'!B136</f>
        <v>0</v>
      </c>
      <c r="B114" s="4" t="str">
        <f>IF('R10'!K136="non-UC","No","Yes")</f>
        <v>No</v>
      </c>
      <c r="C114" s="4">
        <f>IF('R10'!$K136="IC of Above",0,'R10'!N136+IF('R10'!$K137="IC of Above",'R10'!N137,0))</f>
        <v>0</v>
      </c>
      <c r="D114" s="4">
        <f>IF('R10'!$K136="IC of Above",0,'R10'!O136+IF('R10'!$K137="IC of Above",'R10'!O137,0))</f>
        <v>0</v>
      </c>
      <c r="E114" s="4">
        <f>IF('R10'!$K136="IC of Above",0,'R10'!P136+IF('R10'!$K137="IC of Above",'R10'!P137,0))</f>
        <v>0</v>
      </c>
      <c r="F114" s="4">
        <f>IF('R10'!$K136="IC of Above",0,'R10'!Q136+IF('R10'!$K137="IC of Above",'R10'!Q137,0))</f>
        <v>0</v>
      </c>
      <c r="G114" s="4">
        <f>IF('R10'!$K136="IC of Above",0,'R10'!R136+IF('R10'!$K137="IC of Above",'R10'!R137,0))</f>
        <v>0</v>
      </c>
      <c r="H114" s="4">
        <f t="shared" si="23"/>
        <v>0</v>
      </c>
    </row>
    <row r="115" spans="1:8" x14ac:dyDescent="0.2">
      <c r="A115" s="40">
        <f>'R10'!B137</f>
        <v>0</v>
      </c>
      <c r="B115" s="4" t="str">
        <f>IF('R10'!K137="non-UC","No","Yes")</f>
        <v>No</v>
      </c>
      <c r="C115" s="4">
        <f>IF('R10'!$K137="IC of Above",0,'R10'!N137+IF('R10'!$K138="IC of Above",'R10'!N138,0))</f>
        <v>0</v>
      </c>
      <c r="D115" s="4">
        <f>IF('R10'!$K137="IC of Above",0,'R10'!O137+IF('R10'!$K138="IC of Above",'R10'!O138,0))</f>
        <v>0</v>
      </c>
      <c r="E115" s="4">
        <f>IF('R10'!$K137="IC of Above",0,'R10'!P137+IF('R10'!$K138="IC of Above",'R10'!P138,0))</f>
        <v>0</v>
      </c>
      <c r="F115" s="4">
        <f>IF('R10'!$K137="IC of Above",0,'R10'!Q137+IF('R10'!$K138="IC of Above",'R10'!Q138,0))</f>
        <v>0</v>
      </c>
      <c r="G115" s="4">
        <f>IF('R10'!$K137="IC of Above",0,'R10'!R137+IF('R10'!$K138="IC of Above",'R10'!R138,0))</f>
        <v>0</v>
      </c>
      <c r="H115" s="4">
        <f t="shared" si="23"/>
        <v>0</v>
      </c>
    </row>
    <row r="116" spans="1:8" x14ac:dyDescent="0.2">
      <c r="A116" s="40">
        <f>'R10'!B138</f>
        <v>0</v>
      </c>
      <c r="B116" s="4" t="str">
        <f>IF('R10'!K138="non-UC","No","Yes")</f>
        <v>No</v>
      </c>
      <c r="C116" s="4">
        <f>IF('R10'!$K138="IC of Above",0,'R10'!N138+IF('R10'!$K139="IC of Above",'R10'!N139,0))</f>
        <v>0</v>
      </c>
      <c r="D116" s="4">
        <f>IF('R10'!$K138="IC of Above",0,'R10'!O138+IF('R10'!$K139="IC of Above",'R10'!O139,0))</f>
        <v>0</v>
      </c>
      <c r="E116" s="4">
        <f>IF('R10'!$K138="IC of Above",0,'R10'!P138+IF('R10'!$K139="IC of Above",'R10'!P139,0))</f>
        <v>0</v>
      </c>
      <c r="F116" s="4">
        <f>IF('R10'!$K138="IC of Above",0,'R10'!Q138+IF('R10'!$K139="IC of Above",'R10'!Q139,0))</f>
        <v>0</v>
      </c>
      <c r="G116" s="4">
        <f>IF('R10'!$K138="IC of Above",0,'R10'!R138+IF('R10'!$K139="IC of Above",'R10'!R139,0))</f>
        <v>0</v>
      </c>
      <c r="H116" s="4">
        <f t="shared" si="23"/>
        <v>0</v>
      </c>
    </row>
    <row r="117" spans="1:8" x14ac:dyDescent="0.2">
      <c r="A117" s="40">
        <f>'R10'!B139</f>
        <v>0</v>
      </c>
      <c r="B117" s="4" t="str">
        <f>IF('R10'!K139="non-UC","No","Yes")</f>
        <v>No</v>
      </c>
      <c r="C117" s="4">
        <f>IF('R10'!$K139="IC of Above",0,'R10'!N139+IF('R10'!$K140="IC of Above",'R10'!N140,0))</f>
        <v>0</v>
      </c>
      <c r="D117" s="4">
        <f>IF('R10'!$K139="IC of Above",0,'R10'!O139+IF('R10'!$K140="IC of Above",'R10'!O140,0))</f>
        <v>0</v>
      </c>
      <c r="E117" s="4">
        <f>IF('R10'!$K139="IC of Above",0,'R10'!P139+IF('R10'!$K140="IC of Above",'R10'!P140,0))</f>
        <v>0</v>
      </c>
      <c r="F117" s="4">
        <f>IF('R10'!$K139="IC of Above",0,'R10'!Q139+IF('R10'!$K140="IC of Above",'R10'!Q140,0))</f>
        <v>0</v>
      </c>
      <c r="G117" s="4">
        <f>IF('R10'!$K139="IC of Above",0,'R10'!R139+IF('R10'!$K140="IC of Above",'R10'!R140,0))</f>
        <v>0</v>
      </c>
      <c r="H117" s="4">
        <f t="shared" si="23"/>
        <v>0</v>
      </c>
    </row>
    <row r="118" spans="1:8" x14ac:dyDescent="0.2">
      <c r="A118" s="40">
        <f>'R10'!B140</f>
        <v>0</v>
      </c>
      <c r="B118" s="4" t="str">
        <f>IF('R10'!K140="non-UC","No","Yes")</f>
        <v>No</v>
      </c>
      <c r="C118" s="4">
        <f>IF('R10'!$K140="IC of Above",0,'R10'!N140+IF('R10'!$K141="IC of Above",'R10'!N141,0))</f>
        <v>0</v>
      </c>
      <c r="D118" s="4">
        <f>IF('R10'!$K140="IC of Above",0,'R10'!O140+IF('R10'!$K141="IC of Above",'R10'!O141,0))</f>
        <v>0</v>
      </c>
      <c r="E118" s="4">
        <f>IF('R10'!$K140="IC of Above",0,'R10'!P140+IF('R10'!$K141="IC of Above",'R10'!P141,0))</f>
        <v>0</v>
      </c>
      <c r="F118" s="4">
        <f>IF('R10'!$K140="IC of Above",0,'R10'!Q140+IF('R10'!$K141="IC of Above",'R10'!Q141,0))</f>
        <v>0</v>
      </c>
      <c r="G118" s="4">
        <f>IF('R10'!$K140="IC of Above",0,'R10'!R140+IF('R10'!$K141="IC of Above",'R10'!R141,0))</f>
        <v>0</v>
      </c>
      <c r="H118" s="4">
        <f t="shared" si="23"/>
        <v>0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>
        <f>'R10'!B143</f>
        <v>0</v>
      </c>
      <c r="B121" s="4" t="str">
        <f>IF('R10'!K126="non-UC","No","Yes")</f>
        <v>No</v>
      </c>
      <c r="C121" s="4">
        <f>IF(B104="Yes",0,(IF(C104&gt;25000,25000,C104)))</f>
        <v>0</v>
      </c>
      <c r="D121" s="4">
        <f t="shared" ref="D121:D135" si="24">IF(B121="Yes",0,IF(C104&gt;=25000,0,IF(C104+D104&gt;=25000,25000-C104,D104)))</f>
        <v>0</v>
      </c>
      <c r="E121" s="4">
        <f t="shared" ref="E121:E135" si="25">IF(B121="Yes",0,IF((C104+D104)&gt;=25000,0,IF((C104+D104+E104)&gt;=25000,25000-C104-D104,E104)))</f>
        <v>0</v>
      </c>
      <c r="F121" s="4">
        <f t="shared" ref="F121:F135" si="26">IF(B121="Yes",0,IF((C104+D104+E104)&gt;=25000,0,IF((C104+D104+E104+F104)&gt;=25000,25000-C104-D104-E104,F104)))</f>
        <v>0</v>
      </c>
      <c r="G121" s="4">
        <f t="shared" ref="G121:G135" si="27">IF(B121="Yes",0,IF((C104+D104+E104+F104)&gt;=25000,0,IF((C104+D104+E104+F104+G104)&gt;=25000,25000-C104-D104-E104-F104,G104)))</f>
        <v>0</v>
      </c>
      <c r="H121" s="4">
        <f t="shared" ref="H121:H136" si="28">SUM(C121:G121)</f>
        <v>0</v>
      </c>
    </row>
    <row r="122" spans="1:8" x14ac:dyDescent="0.2">
      <c r="A122" s="40">
        <f>'R10'!B144</f>
        <v>0</v>
      </c>
      <c r="B122" s="4" t="str">
        <f>IF('R10'!K127="non-UC","No","Yes")</f>
        <v>No</v>
      </c>
      <c r="C122" s="4">
        <f>IF(B105="Yes",0,(IF(C105&gt;25000,25000,C105)))</f>
        <v>0</v>
      </c>
      <c r="D122" s="4">
        <f t="shared" si="24"/>
        <v>0</v>
      </c>
      <c r="E122" s="4">
        <f t="shared" si="25"/>
        <v>0</v>
      </c>
      <c r="F122" s="4">
        <f t="shared" si="26"/>
        <v>0</v>
      </c>
      <c r="G122" s="4">
        <f t="shared" si="27"/>
        <v>0</v>
      </c>
      <c r="H122" s="4">
        <f t="shared" si="28"/>
        <v>0</v>
      </c>
    </row>
    <row r="123" spans="1:8" x14ac:dyDescent="0.2">
      <c r="A123" s="40">
        <f>'R10'!B145</f>
        <v>0</v>
      </c>
      <c r="B123" s="4" t="str">
        <f>IF('R10'!K128="non-UC","No","Yes")</f>
        <v>No</v>
      </c>
      <c r="C123" s="4">
        <f t="shared" ref="C123:C135" si="29">IF(B106="Yes",0,(IF(C106&gt;25000,25000,C106)))</f>
        <v>0</v>
      </c>
      <c r="D123" s="4">
        <f t="shared" si="24"/>
        <v>0</v>
      </c>
      <c r="E123" s="4">
        <f t="shared" si="25"/>
        <v>0</v>
      </c>
      <c r="F123" s="4">
        <f t="shared" si="26"/>
        <v>0</v>
      </c>
      <c r="G123" s="4">
        <f t="shared" si="27"/>
        <v>0</v>
      </c>
      <c r="H123" s="4">
        <f t="shared" si="28"/>
        <v>0</v>
      </c>
    </row>
    <row r="124" spans="1:8" x14ac:dyDescent="0.2">
      <c r="A124" s="40">
        <f>'R10'!B146</f>
        <v>0</v>
      </c>
      <c r="B124" s="4" t="str">
        <f>IF('R10'!K129="non-UC","No","Yes")</f>
        <v>No</v>
      </c>
      <c r="C124" s="4">
        <f t="shared" si="29"/>
        <v>0</v>
      </c>
      <c r="D124" s="4">
        <f t="shared" si="24"/>
        <v>0</v>
      </c>
      <c r="E124" s="4">
        <f t="shared" si="25"/>
        <v>0</v>
      </c>
      <c r="F124" s="4">
        <f t="shared" si="26"/>
        <v>0</v>
      </c>
      <c r="G124" s="4">
        <f t="shared" si="27"/>
        <v>0</v>
      </c>
      <c r="H124" s="4">
        <f t="shared" si="28"/>
        <v>0</v>
      </c>
    </row>
    <row r="125" spans="1:8" x14ac:dyDescent="0.2">
      <c r="A125" s="40">
        <f>'R10'!B147</f>
        <v>0</v>
      </c>
      <c r="B125" s="4" t="str">
        <f>IF('R10'!K130="non-UC","No","Yes")</f>
        <v>No</v>
      </c>
      <c r="C125" s="4">
        <f t="shared" si="29"/>
        <v>0</v>
      </c>
      <c r="D125" s="4">
        <f t="shared" si="24"/>
        <v>0</v>
      </c>
      <c r="E125" s="4">
        <f t="shared" si="25"/>
        <v>0</v>
      </c>
      <c r="F125" s="4">
        <f t="shared" si="26"/>
        <v>0</v>
      </c>
      <c r="G125" s="4">
        <f t="shared" si="27"/>
        <v>0</v>
      </c>
      <c r="H125" s="4">
        <f t="shared" si="28"/>
        <v>0</v>
      </c>
    </row>
    <row r="126" spans="1:8" x14ac:dyDescent="0.2">
      <c r="A126" s="40">
        <f>'R10'!B148</f>
        <v>0</v>
      </c>
      <c r="B126" s="4" t="str">
        <f>IF('R10'!K131="non-UC","No","Yes")</f>
        <v>No</v>
      </c>
      <c r="C126" s="4">
        <f t="shared" si="29"/>
        <v>0</v>
      </c>
      <c r="D126" s="4">
        <f t="shared" si="24"/>
        <v>0</v>
      </c>
      <c r="E126" s="4">
        <f t="shared" si="25"/>
        <v>0</v>
      </c>
      <c r="F126" s="4">
        <f t="shared" si="26"/>
        <v>0</v>
      </c>
      <c r="G126" s="4">
        <f t="shared" si="27"/>
        <v>0</v>
      </c>
      <c r="H126" s="4">
        <f t="shared" si="28"/>
        <v>0</v>
      </c>
    </row>
    <row r="127" spans="1:8" x14ac:dyDescent="0.2">
      <c r="A127" s="40">
        <f>'R10'!B149</f>
        <v>0</v>
      </c>
      <c r="B127" s="4" t="str">
        <f>IF('R10'!K132="non-UC","No","Yes")</f>
        <v>No</v>
      </c>
      <c r="C127" s="4">
        <f t="shared" si="29"/>
        <v>0</v>
      </c>
      <c r="D127" s="4">
        <f t="shared" si="24"/>
        <v>0</v>
      </c>
      <c r="E127" s="4">
        <f t="shared" si="25"/>
        <v>0</v>
      </c>
      <c r="F127" s="4">
        <f t="shared" si="26"/>
        <v>0</v>
      </c>
      <c r="G127" s="4">
        <f t="shared" si="27"/>
        <v>0</v>
      </c>
      <c r="H127" s="4">
        <f t="shared" si="28"/>
        <v>0</v>
      </c>
    </row>
    <row r="128" spans="1:8" x14ac:dyDescent="0.2">
      <c r="A128" s="40">
        <f>'R10'!B150</f>
        <v>0</v>
      </c>
      <c r="B128" s="4" t="str">
        <f>IF('R10'!K133="non-UC","No","Yes")</f>
        <v>No</v>
      </c>
      <c r="C128" s="4">
        <f t="shared" si="29"/>
        <v>0</v>
      </c>
      <c r="D128" s="4">
        <f t="shared" si="24"/>
        <v>0</v>
      </c>
      <c r="E128" s="4">
        <f t="shared" si="25"/>
        <v>0</v>
      </c>
      <c r="F128" s="4">
        <f t="shared" si="26"/>
        <v>0</v>
      </c>
      <c r="G128" s="4">
        <f t="shared" si="27"/>
        <v>0</v>
      </c>
      <c r="H128" s="4">
        <f t="shared" si="28"/>
        <v>0</v>
      </c>
    </row>
    <row r="129" spans="1:8" x14ac:dyDescent="0.2">
      <c r="A129" s="40">
        <f>'R10'!B151</f>
        <v>0</v>
      </c>
      <c r="B129" s="4" t="str">
        <f>IF('R10'!K134="non-UC","No","Yes")</f>
        <v>No</v>
      </c>
      <c r="C129" s="4">
        <f t="shared" si="29"/>
        <v>0</v>
      </c>
      <c r="D129" s="4">
        <f t="shared" si="24"/>
        <v>0</v>
      </c>
      <c r="E129" s="4">
        <f t="shared" si="25"/>
        <v>0</v>
      </c>
      <c r="F129" s="4">
        <f t="shared" si="26"/>
        <v>0</v>
      </c>
      <c r="G129" s="4">
        <f t="shared" si="27"/>
        <v>0</v>
      </c>
      <c r="H129" s="4">
        <f t="shared" si="28"/>
        <v>0</v>
      </c>
    </row>
    <row r="130" spans="1:8" x14ac:dyDescent="0.2">
      <c r="A130" s="40">
        <f>'R10'!B152</f>
        <v>0</v>
      </c>
      <c r="B130" s="4" t="str">
        <f>IF('R10'!K135="non-UC","No","Yes")</f>
        <v>No</v>
      </c>
      <c r="C130" s="4">
        <f t="shared" si="29"/>
        <v>0</v>
      </c>
      <c r="D130" s="4">
        <f t="shared" si="24"/>
        <v>0</v>
      </c>
      <c r="E130" s="4">
        <f t="shared" si="25"/>
        <v>0</v>
      </c>
      <c r="F130" s="4">
        <f t="shared" si="26"/>
        <v>0</v>
      </c>
      <c r="G130" s="4">
        <f t="shared" si="27"/>
        <v>0</v>
      </c>
      <c r="H130" s="4">
        <f t="shared" si="28"/>
        <v>0</v>
      </c>
    </row>
    <row r="131" spans="1:8" x14ac:dyDescent="0.2">
      <c r="A131" s="40">
        <f>'R10'!B153</f>
        <v>0</v>
      </c>
      <c r="B131" s="4" t="str">
        <f>IF('R10'!K136="non-UC","No","Yes")</f>
        <v>No</v>
      </c>
      <c r="C131" s="4">
        <f t="shared" si="29"/>
        <v>0</v>
      </c>
      <c r="D131" s="4">
        <f t="shared" si="24"/>
        <v>0</v>
      </c>
      <c r="E131" s="4">
        <f t="shared" si="25"/>
        <v>0</v>
      </c>
      <c r="F131" s="4">
        <f t="shared" si="26"/>
        <v>0</v>
      </c>
      <c r="G131" s="4">
        <f t="shared" si="27"/>
        <v>0</v>
      </c>
      <c r="H131" s="4">
        <f t="shared" si="28"/>
        <v>0</v>
      </c>
    </row>
    <row r="132" spans="1:8" x14ac:dyDescent="0.2">
      <c r="A132" s="40">
        <f>'R10'!B154</f>
        <v>0</v>
      </c>
      <c r="B132" s="4" t="str">
        <f>IF('R10'!K137="non-UC","No","Yes")</f>
        <v>No</v>
      </c>
      <c r="C132" s="4">
        <f t="shared" si="29"/>
        <v>0</v>
      </c>
      <c r="D132" s="4">
        <f t="shared" si="24"/>
        <v>0</v>
      </c>
      <c r="E132" s="4">
        <f t="shared" si="25"/>
        <v>0</v>
      </c>
      <c r="F132" s="4">
        <f t="shared" si="26"/>
        <v>0</v>
      </c>
      <c r="G132" s="4">
        <f t="shared" si="27"/>
        <v>0</v>
      </c>
      <c r="H132" s="4">
        <f t="shared" si="28"/>
        <v>0</v>
      </c>
    </row>
    <row r="133" spans="1:8" x14ac:dyDescent="0.2">
      <c r="A133" s="40">
        <f>'R10'!B155</f>
        <v>0</v>
      </c>
      <c r="B133" s="4" t="str">
        <f>IF('R10'!K138="non-UC","No","Yes")</f>
        <v>No</v>
      </c>
      <c r="C133" s="4">
        <f t="shared" si="29"/>
        <v>0</v>
      </c>
      <c r="D133" s="4">
        <f t="shared" si="24"/>
        <v>0</v>
      </c>
      <c r="E133" s="4">
        <f t="shared" si="25"/>
        <v>0</v>
      </c>
      <c r="F133" s="4">
        <f t="shared" si="26"/>
        <v>0</v>
      </c>
      <c r="G133" s="4">
        <f t="shared" si="27"/>
        <v>0</v>
      </c>
      <c r="H133" s="4">
        <f t="shared" si="28"/>
        <v>0</v>
      </c>
    </row>
    <row r="134" spans="1:8" x14ac:dyDescent="0.2">
      <c r="A134" s="40">
        <f>'R10'!B156</f>
        <v>0</v>
      </c>
      <c r="B134" s="4" t="str">
        <f>IF('R10'!K139="non-UC","No","Yes")</f>
        <v>No</v>
      </c>
      <c r="C134" s="4">
        <f t="shared" si="29"/>
        <v>0</v>
      </c>
      <c r="D134" s="4">
        <f t="shared" si="24"/>
        <v>0</v>
      </c>
      <c r="E134" s="4">
        <f t="shared" si="25"/>
        <v>0</v>
      </c>
      <c r="F134" s="4">
        <f t="shared" si="26"/>
        <v>0</v>
      </c>
      <c r="G134" s="4">
        <f t="shared" si="27"/>
        <v>0</v>
      </c>
      <c r="H134" s="4">
        <f t="shared" si="28"/>
        <v>0</v>
      </c>
    </row>
    <row r="135" spans="1:8" x14ac:dyDescent="0.2">
      <c r="A135" s="40">
        <f>'R10'!B157</f>
        <v>0</v>
      </c>
      <c r="B135" s="4" t="str">
        <f>IF('R10'!K140="non-UC","No","Yes")</f>
        <v>No</v>
      </c>
      <c r="C135" s="4">
        <f t="shared" si="29"/>
        <v>0</v>
      </c>
      <c r="D135" s="4">
        <f t="shared" si="24"/>
        <v>0</v>
      </c>
      <c r="E135" s="4">
        <f t="shared" si="25"/>
        <v>0</v>
      </c>
      <c r="F135" s="4">
        <f t="shared" si="26"/>
        <v>0</v>
      </c>
      <c r="G135" s="4">
        <f t="shared" si="27"/>
        <v>0</v>
      </c>
      <c r="H135" s="4">
        <f t="shared" si="28"/>
        <v>0</v>
      </c>
    </row>
    <row r="136" spans="1:8" x14ac:dyDescent="0.2">
      <c r="A136" s="313" t="s">
        <v>112</v>
      </c>
      <c r="B136" s="313"/>
      <c r="C136" s="41">
        <f>SUM(C121:C135)</f>
        <v>0</v>
      </c>
      <c r="D136" s="41">
        <f>SUM(D121:D135)</f>
        <v>0</v>
      </c>
      <c r="E136" s="41">
        <f t="shared" ref="E136:G136" si="30">SUM(E121:E135)</f>
        <v>0</v>
      </c>
      <c r="F136" s="41">
        <f t="shared" si="30"/>
        <v>0</v>
      </c>
      <c r="G136" s="41">
        <f t="shared" si="30"/>
        <v>0</v>
      </c>
      <c r="H136" s="41">
        <f t="shared" si="28"/>
        <v>0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>
        <f>'R10'!B161</f>
        <v>0</v>
      </c>
      <c r="B139" s="4" t="str">
        <f>IF('R10'!K126="non-UC","No","Yes")</f>
        <v>No</v>
      </c>
      <c r="C139" s="4">
        <f>IF($B139="Yes",0,C104)</f>
        <v>0</v>
      </c>
      <c r="D139" s="4">
        <f t="shared" ref="D139:G139" si="31">IF($B139="Yes",0,D104)</f>
        <v>0</v>
      </c>
      <c r="E139" s="4">
        <f t="shared" si="31"/>
        <v>0</v>
      </c>
      <c r="F139" s="4">
        <f t="shared" si="31"/>
        <v>0</v>
      </c>
      <c r="G139" s="4">
        <f t="shared" si="31"/>
        <v>0</v>
      </c>
      <c r="H139" s="4">
        <f t="shared" ref="H139:H154" si="32">SUM(C139:G139)</f>
        <v>0</v>
      </c>
    </row>
    <row r="140" spans="1:8" x14ac:dyDescent="0.2">
      <c r="A140" s="40">
        <f>'R10'!B171</f>
        <v>0</v>
      </c>
      <c r="B140" s="4" t="str">
        <f>IF('R10'!K127="non-UC","No","Yes")</f>
        <v>No</v>
      </c>
      <c r="C140" s="4">
        <f t="shared" ref="C140:G153" si="33">IF($B140="Yes",0,C105)</f>
        <v>0</v>
      </c>
      <c r="D140" s="4">
        <f t="shared" si="33"/>
        <v>0</v>
      </c>
      <c r="E140" s="4">
        <f t="shared" si="33"/>
        <v>0</v>
      </c>
      <c r="F140" s="4">
        <f t="shared" si="33"/>
        <v>0</v>
      </c>
      <c r="G140" s="4">
        <f t="shared" si="33"/>
        <v>0</v>
      </c>
      <c r="H140" s="4">
        <f t="shared" si="32"/>
        <v>0</v>
      </c>
    </row>
    <row r="141" spans="1:8" x14ac:dyDescent="0.2">
      <c r="A141" s="40">
        <f>'R10'!B172</f>
        <v>0</v>
      </c>
      <c r="B141" s="4" t="str">
        <f>IF('R10'!K128="non-UC","No","Yes")</f>
        <v>No</v>
      </c>
      <c r="C141" s="4">
        <f t="shared" si="33"/>
        <v>0</v>
      </c>
      <c r="D141" s="4">
        <f t="shared" si="33"/>
        <v>0</v>
      </c>
      <c r="E141" s="4">
        <f t="shared" si="33"/>
        <v>0</v>
      </c>
      <c r="F141" s="4">
        <f t="shared" si="33"/>
        <v>0</v>
      </c>
      <c r="G141" s="4">
        <f t="shared" si="33"/>
        <v>0</v>
      </c>
      <c r="H141" s="4">
        <f t="shared" si="32"/>
        <v>0</v>
      </c>
    </row>
    <row r="142" spans="1:8" x14ac:dyDescent="0.2">
      <c r="A142" s="40">
        <f>'R10'!B173</f>
        <v>0</v>
      </c>
      <c r="B142" s="4" t="str">
        <f>IF('R10'!K129="non-UC","No","Yes")</f>
        <v>No</v>
      </c>
      <c r="C142" s="4">
        <f t="shared" si="33"/>
        <v>0</v>
      </c>
      <c r="D142" s="4">
        <f t="shared" si="33"/>
        <v>0</v>
      </c>
      <c r="E142" s="4">
        <f t="shared" si="33"/>
        <v>0</v>
      </c>
      <c r="F142" s="4">
        <f t="shared" si="33"/>
        <v>0</v>
      </c>
      <c r="G142" s="4">
        <f t="shared" si="33"/>
        <v>0</v>
      </c>
      <c r="H142" s="4">
        <f t="shared" si="32"/>
        <v>0</v>
      </c>
    </row>
    <row r="143" spans="1:8" x14ac:dyDescent="0.2">
      <c r="A143" s="40">
        <f>'R10'!B174</f>
        <v>0</v>
      </c>
      <c r="B143" s="4" t="str">
        <f>IF('R10'!K130="non-UC","No","Yes")</f>
        <v>No</v>
      </c>
      <c r="C143" s="4">
        <f t="shared" si="33"/>
        <v>0</v>
      </c>
      <c r="D143" s="4">
        <f t="shared" si="33"/>
        <v>0</v>
      </c>
      <c r="E143" s="4">
        <f t="shared" si="33"/>
        <v>0</v>
      </c>
      <c r="F143" s="4">
        <f t="shared" si="33"/>
        <v>0</v>
      </c>
      <c r="G143" s="4">
        <f t="shared" si="33"/>
        <v>0</v>
      </c>
      <c r="H143" s="4">
        <f t="shared" si="32"/>
        <v>0</v>
      </c>
    </row>
    <row r="144" spans="1:8" x14ac:dyDescent="0.2">
      <c r="A144" s="40">
        <f>'R10'!B175</f>
        <v>0</v>
      </c>
      <c r="B144" s="4" t="str">
        <f>IF('R10'!K131="non-UC","No","Yes")</f>
        <v>No</v>
      </c>
      <c r="C144" s="4">
        <f t="shared" si="33"/>
        <v>0</v>
      </c>
      <c r="D144" s="4">
        <f t="shared" si="33"/>
        <v>0</v>
      </c>
      <c r="E144" s="4">
        <f t="shared" si="33"/>
        <v>0</v>
      </c>
      <c r="F144" s="4">
        <f t="shared" si="33"/>
        <v>0</v>
      </c>
      <c r="G144" s="4">
        <f t="shared" si="33"/>
        <v>0</v>
      </c>
      <c r="H144" s="4">
        <f t="shared" si="32"/>
        <v>0</v>
      </c>
    </row>
    <row r="145" spans="1:18" x14ac:dyDescent="0.2">
      <c r="A145" s="40">
        <f>'R10'!B176</f>
        <v>0</v>
      </c>
      <c r="B145" s="4" t="str">
        <f>IF('R10'!K132="non-UC","No","Yes")</f>
        <v>No</v>
      </c>
      <c r="C145" s="4">
        <f t="shared" si="33"/>
        <v>0</v>
      </c>
      <c r="D145" s="4">
        <f t="shared" si="33"/>
        <v>0</v>
      </c>
      <c r="E145" s="4">
        <f t="shared" si="33"/>
        <v>0</v>
      </c>
      <c r="F145" s="4">
        <f t="shared" si="33"/>
        <v>0</v>
      </c>
      <c r="G145" s="4">
        <f t="shared" si="33"/>
        <v>0</v>
      </c>
      <c r="H145" s="4">
        <f t="shared" si="32"/>
        <v>0</v>
      </c>
    </row>
    <row r="146" spans="1:18" x14ac:dyDescent="0.2">
      <c r="A146" s="40">
        <f>'R10'!B177</f>
        <v>0</v>
      </c>
      <c r="B146" s="4" t="str">
        <f>IF('R10'!K133="non-UC","No","Yes")</f>
        <v>No</v>
      </c>
      <c r="C146" s="4">
        <f t="shared" si="33"/>
        <v>0</v>
      </c>
      <c r="D146" s="4">
        <f t="shared" si="33"/>
        <v>0</v>
      </c>
      <c r="E146" s="4">
        <f t="shared" si="33"/>
        <v>0</v>
      </c>
      <c r="F146" s="4">
        <f t="shared" si="33"/>
        <v>0</v>
      </c>
      <c r="G146" s="4">
        <f t="shared" si="33"/>
        <v>0</v>
      </c>
      <c r="H146" s="4">
        <f t="shared" si="32"/>
        <v>0</v>
      </c>
    </row>
    <row r="147" spans="1:18" x14ac:dyDescent="0.2">
      <c r="A147" s="40">
        <f>'R10'!B178</f>
        <v>0</v>
      </c>
      <c r="B147" s="4" t="str">
        <f>IF('R10'!K134="non-UC","No","Yes")</f>
        <v>No</v>
      </c>
      <c r="C147" s="4">
        <f t="shared" si="33"/>
        <v>0</v>
      </c>
      <c r="D147" s="4">
        <f t="shared" si="33"/>
        <v>0</v>
      </c>
      <c r="E147" s="4">
        <f t="shared" si="33"/>
        <v>0</v>
      </c>
      <c r="F147" s="4">
        <f t="shared" si="33"/>
        <v>0</v>
      </c>
      <c r="G147" s="4">
        <f t="shared" si="33"/>
        <v>0</v>
      </c>
      <c r="H147" s="4">
        <f t="shared" si="32"/>
        <v>0</v>
      </c>
    </row>
    <row r="148" spans="1:18" x14ac:dyDescent="0.2">
      <c r="A148" s="40">
        <f>'R10'!B179</f>
        <v>0</v>
      </c>
      <c r="B148" s="4" t="str">
        <f>IF('R10'!K135="non-UC","No","Yes")</f>
        <v>No</v>
      </c>
      <c r="C148" s="4">
        <f t="shared" si="33"/>
        <v>0</v>
      </c>
      <c r="D148" s="4">
        <f t="shared" si="33"/>
        <v>0</v>
      </c>
      <c r="E148" s="4">
        <f t="shared" si="33"/>
        <v>0</v>
      </c>
      <c r="F148" s="4">
        <f t="shared" si="33"/>
        <v>0</v>
      </c>
      <c r="G148" s="4">
        <f t="shared" si="33"/>
        <v>0</v>
      </c>
      <c r="H148" s="4">
        <f t="shared" si="32"/>
        <v>0</v>
      </c>
    </row>
    <row r="149" spans="1:18" x14ac:dyDescent="0.2">
      <c r="A149" s="40">
        <f>'R10'!B180</f>
        <v>0</v>
      </c>
      <c r="B149" s="4" t="str">
        <f>IF('R10'!K136="non-UC","No","Yes")</f>
        <v>No</v>
      </c>
      <c r="C149" s="4">
        <f t="shared" si="33"/>
        <v>0</v>
      </c>
      <c r="D149" s="4">
        <f t="shared" si="33"/>
        <v>0</v>
      </c>
      <c r="E149" s="4">
        <f t="shared" si="33"/>
        <v>0</v>
      </c>
      <c r="F149" s="4">
        <f t="shared" si="33"/>
        <v>0</v>
      </c>
      <c r="G149" s="4">
        <f t="shared" si="33"/>
        <v>0</v>
      </c>
      <c r="H149" s="4">
        <f t="shared" si="32"/>
        <v>0</v>
      </c>
    </row>
    <row r="150" spans="1:18" x14ac:dyDescent="0.2">
      <c r="A150" s="40">
        <f>'R10'!B181</f>
        <v>0</v>
      </c>
      <c r="B150" s="4" t="str">
        <f>IF('R10'!K137="non-UC","No","Yes")</f>
        <v>No</v>
      </c>
      <c r="C150" s="4">
        <f t="shared" si="33"/>
        <v>0</v>
      </c>
      <c r="D150" s="4">
        <f t="shared" si="33"/>
        <v>0</v>
      </c>
      <c r="E150" s="4">
        <f t="shared" si="33"/>
        <v>0</v>
      </c>
      <c r="F150" s="4">
        <f t="shared" si="33"/>
        <v>0</v>
      </c>
      <c r="G150" s="4">
        <f t="shared" si="33"/>
        <v>0</v>
      </c>
      <c r="H150" s="4">
        <f t="shared" si="32"/>
        <v>0</v>
      </c>
    </row>
    <row r="151" spans="1:18" x14ac:dyDescent="0.2">
      <c r="A151" s="40">
        <f>'R10'!B182</f>
        <v>0</v>
      </c>
      <c r="B151" s="4" t="str">
        <f>IF('R10'!K138="non-UC","No","Yes")</f>
        <v>No</v>
      </c>
      <c r="C151" s="4">
        <f t="shared" si="33"/>
        <v>0</v>
      </c>
      <c r="D151" s="4">
        <f t="shared" si="33"/>
        <v>0</v>
      </c>
      <c r="E151" s="4">
        <f t="shared" si="33"/>
        <v>0</v>
      </c>
      <c r="F151" s="4">
        <f t="shared" si="33"/>
        <v>0</v>
      </c>
      <c r="G151" s="4">
        <f t="shared" si="33"/>
        <v>0</v>
      </c>
      <c r="H151" s="4">
        <f t="shared" si="32"/>
        <v>0</v>
      </c>
    </row>
    <row r="152" spans="1:18" x14ac:dyDescent="0.2">
      <c r="A152" s="40">
        <f>'R10'!B183</f>
        <v>0</v>
      </c>
      <c r="B152" s="4" t="str">
        <f>IF('R10'!K139="non-UC","No","Yes")</f>
        <v>No</v>
      </c>
      <c r="C152" s="4">
        <f t="shared" si="33"/>
        <v>0</v>
      </c>
      <c r="D152" s="4">
        <f t="shared" si="33"/>
        <v>0</v>
      </c>
      <c r="E152" s="4">
        <f t="shared" si="33"/>
        <v>0</v>
      </c>
      <c r="F152" s="4">
        <f t="shared" si="33"/>
        <v>0</v>
      </c>
      <c r="G152" s="4">
        <f t="shared" si="33"/>
        <v>0</v>
      </c>
      <c r="H152" s="4">
        <f t="shared" si="32"/>
        <v>0</v>
      </c>
    </row>
    <row r="153" spans="1:18" x14ac:dyDescent="0.2">
      <c r="A153" s="40">
        <f>'R10'!B184</f>
        <v>0</v>
      </c>
      <c r="B153" s="4" t="str">
        <f>IF('R10'!K140="non-UC","No","Yes")</f>
        <v>No</v>
      </c>
      <c r="C153" s="4">
        <f t="shared" si="33"/>
        <v>0</v>
      </c>
      <c r="D153" s="4">
        <f t="shared" si="33"/>
        <v>0</v>
      </c>
      <c r="E153" s="4">
        <f t="shared" si="33"/>
        <v>0</v>
      </c>
      <c r="F153" s="4">
        <f t="shared" si="33"/>
        <v>0</v>
      </c>
      <c r="G153" s="4">
        <f t="shared" si="33"/>
        <v>0</v>
      </c>
      <c r="H153" s="4">
        <f t="shared" si="32"/>
        <v>0</v>
      </c>
    </row>
    <row r="154" spans="1:18" x14ac:dyDescent="0.2">
      <c r="A154" s="313" t="s">
        <v>112</v>
      </c>
      <c r="B154" s="313"/>
      <c r="C154" s="41">
        <f>SUM(C139:C153)</f>
        <v>0</v>
      </c>
      <c r="D154" s="41">
        <f>SUM(D139:D153)</f>
        <v>0</v>
      </c>
      <c r="E154" s="41">
        <f t="shared" ref="E154:G154" si="34">SUM(E139:E153)</f>
        <v>0</v>
      </c>
      <c r="F154" s="41">
        <f t="shared" si="34"/>
        <v>0</v>
      </c>
      <c r="G154" s="41">
        <f t="shared" si="34"/>
        <v>0</v>
      </c>
      <c r="H154" s="41">
        <f t="shared" si="32"/>
        <v>0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>
        <f ca="1">'R10'!N61+'R10'!N86+'R10'!N123+'R10'!N153+SUM('R10'!N172:N176)+SUM('R10'!N187:N204)+'W10'!C136</f>
        <v>0</v>
      </c>
      <c r="D157" s="41">
        <f ca="1">IF(D4="",0,('R10'!O61+'R10'!O86+'R10'!O123+'R10'!O153+SUM('R10'!O172:O176)+SUM('R10'!O187:O204)+'W10'!D136))</f>
        <v>0</v>
      </c>
      <c r="E157" s="41">
        <f ca="1">IF(E4="",0,('R10'!P61+'R10'!P86+'R10'!P123+'R10'!P153+SUM('R10'!P172:P176)+SUM('R10'!P187:P204)+'W10'!E136))</f>
        <v>0</v>
      </c>
      <c r="F157" s="41">
        <f ca="1">IF(F4="",0,('R10'!Q61+'R10'!Q86+'R10'!Q123+'R10'!Q153+SUM('R10'!Q172:Q176)+SUM('R10'!Q187:Q204)+'W10'!F136))</f>
        <v>0</v>
      </c>
      <c r="G157" s="41">
        <f ca="1">IF(G4="",0,('R10'!R61+'R10'!R86+'R10'!R123+'R10'!R153+SUM('R10'!R172:R176)+SUM('R10'!R187:R204)+'W10'!G136))</f>
        <v>0</v>
      </c>
      <c r="H157" s="42">
        <f ca="1">SUM(C157:G157)</f>
        <v>0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>
        <f ca="1">'R10'!N207-'R10'!N141+'W10'!C154</f>
        <v>0</v>
      </c>
      <c r="D158" s="42">
        <f ca="1">IF(D4="",0,('R10'!O207-'R10'!O141+'W10'!D154))</f>
        <v>0</v>
      </c>
      <c r="E158" s="42">
        <f ca="1">IF(E4="",0,('R10'!P207-'R10'!P141+'W10'!E154))</f>
        <v>0</v>
      </c>
      <c r="F158" s="42">
        <f ca="1">IF(F4="",0,('R10'!Q207-'R10'!Q141+'W10'!F154))</f>
        <v>0</v>
      </c>
      <c r="G158" s="42">
        <f ca="1">IF(G4="",0,('R10'!R207-'R10'!R141+'W10'!G154))</f>
        <v>0</v>
      </c>
      <c r="H158" s="42">
        <f ca="1">SUM(C158:G158)</f>
        <v>0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>
        <f ca="1">ROUND(('R10'!N207-'R10'!N141+'W10'!C154)/(1-'R10'!$L$210),0)</f>
        <v>0</v>
      </c>
      <c r="D159" s="41">
        <f ca="1">IF(D4="",0,(ROUND(('R10'!O207-'R10'!O141+'W10'!D154)/(1-'R10'!$L$210),0)))</f>
        <v>0</v>
      </c>
      <c r="E159" s="41">
        <f ca="1">IF(E4="",0,(ROUND(('R10'!P207-'R10'!P141+'W10'!E154)/(1-'R10'!$L$210),0)))</f>
        <v>0</v>
      </c>
      <c r="F159" s="41">
        <f ca="1">IF(F4="",0,(ROUND(('R10'!Q207-'R10'!Q141+'W10'!F154)/(1-'R10'!$L$210),0)))</f>
        <v>0</v>
      </c>
      <c r="G159" s="41">
        <f ca="1">IF(G4="",0,(ROUND(('R10'!R207-'R10'!R141+'W10'!G154)/(1-'R10'!$L$210),0)))</f>
        <v>0</v>
      </c>
      <c r="H159" s="42">
        <f ca="1">SUM(C159:G159)</f>
        <v>0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>
        <f>SUM('R10'!N172:N176)</f>
        <v>0</v>
      </c>
      <c r="D160" s="216">
        <f>SUM('R10'!O172:O176)</f>
        <v>0</v>
      </c>
      <c r="E160" s="216">
        <f>SUM('R10'!P172:P176)</f>
        <v>0</v>
      </c>
      <c r="F160" s="216">
        <f>SUM('R10'!Q172:Q176)</f>
        <v>0</v>
      </c>
      <c r="G160" s="216">
        <f>SUM('R10'!R172:R176)</f>
        <v>0</v>
      </c>
      <c r="H160" s="216">
        <f>SUM(C160:G160)</f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str">
        <f>'R10'!D159</f>
        <v>Resident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>
        <f>'R10'!A159</f>
        <v>0</v>
      </c>
      <c r="B162" s="26">
        <f>'R10'!F159</f>
        <v>0.1</v>
      </c>
      <c r="C162" s="41">
        <f>'R10'!G159</f>
        <v>17892</v>
      </c>
      <c r="D162" s="41">
        <f>IF('R10'!$D$158="Use Buydown",C162*0.75,C162)</f>
        <v>13419</v>
      </c>
      <c r="E162" s="41">
        <f>IF('R10'!$F$158="AY",ROUND(D162*((1+B162)^$B$24),0),D162)</f>
        <v>13419</v>
      </c>
      <c r="F162" s="41">
        <f>IF('R10'!$F$158="AY",ROUND(D162*((1+$B162)^($B$24+1)),0),ROUND(E162*(1+B162),0))</f>
        <v>14761</v>
      </c>
      <c r="G162" s="41">
        <f>IF('R10'!$F$158="AY",ROUND(D162*((1+$B162)^($B$24+2)),0),ROUND(F162*(1+$B162),0))</f>
        <v>16237</v>
      </c>
      <c r="H162" s="41">
        <f>IF('R10'!$F$158="AY",ROUND(D162*((1+$B162)^($B$24+3)),0),ROUND(G162*(1+$B162),0))</f>
        <v>17861</v>
      </c>
      <c r="I162" s="41">
        <f>IF('R10'!$F$158="AY",ROUND(D162*((1+$B162)^($B$24+4)),0),ROUND(H162*(1+$B162),0))</f>
        <v>19647</v>
      </c>
      <c r="J162" s="41">
        <f>IF('R10'!$F$158="AY",ROUND(D162*((1+$B162)^($B$24+5)),0),ROUND(I162*(1+$B162),0))</f>
        <v>21612</v>
      </c>
      <c r="K162" s="112">
        <f>IF(C$5=0,0,IF('R10'!$F$158="AY",(E162*C$27+F162*C$28)/C$29,'W10'!E162))</f>
        <v>13419</v>
      </c>
      <c r="L162" s="112">
        <f>IF(D$5=0,0,IF('R10'!$F$158="AY",(F162*D$27+G162*D$28)/D$29,'W10'!F162))</f>
        <v>14761</v>
      </c>
      <c r="M162" s="112">
        <f>IF(E$5=0,0,IF('R10'!$F$158="AY",(G162*E$27+H162*E$28)/E$29,'W10'!G162))</f>
        <v>16237</v>
      </c>
      <c r="N162" s="112">
        <f>IF(F$5=0,0,IF('R10'!$F$158="AY",(H162*F$27+I162*F$28)/F$29,'W10'!H162))</f>
        <v>17861</v>
      </c>
      <c r="O162" s="112">
        <f>IF(G$5=0,0,IF('R10'!$F$158="AY",(I162*G$27+J162*G$28)/G$29,'W10'!I162))</f>
        <v>19647</v>
      </c>
      <c r="P162" s="23"/>
      <c r="Q162" s="23"/>
      <c r="R162" s="23"/>
    </row>
    <row r="163" spans="1:18" x14ac:dyDescent="0.2">
      <c r="A163" s="4">
        <f>'R10'!A160</f>
        <v>0</v>
      </c>
      <c r="B163" s="26">
        <f>'R10'!F160</f>
        <v>0.1</v>
      </c>
      <c r="C163" s="41">
        <f>'R10'!G160</f>
        <v>17892</v>
      </c>
      <c r="D163" s="41">
        <f>IF('R10'!$D$158="Use Buydown",C163*0.75,C163)</f>
        <v>13419</v>
      </c>
      <c r="E163" s="41">
        <f>IF('R10'!$F$158="AY",ROUND(D163*((1+B163)^$B$24),0),D163)</f>
        <v>13419</v>
      </c>
      <c r="F163" s="41">
        <f>IF('R10'!$F$158="AY",ROUND(D163*((1+$B163)^($B$24+1)),0),ROUND(E163*(1+B163),0))</f>
        <v>14761</v>
      </c>
      <c r="G163" s="41">
        <f>IF('R10'!$F$158="AY",ROUND(D163*((1+$B163)^($B$24+2)),0),ROUND(F163*(1+$B163),0))</f>
        <v>16237</v>
      </c>
      <c r="H163" s="41">
        <f>IF('R10'!$F$158="AY",ROUND(D163*((1+$B163)^($B$24+3)),0),ROUND(G163*(1+$B163),0))</f>
        <v>17861</v>
      </c>
      <c r="I163" s="41">
        <f>IF('R10'!$F$158="AY",ROUND(D163*((1+$B163)^($B$24+4)),0),ROUND(H163*(1+$B163),0))</f>
        <v>19647</v>
      </c>
      <c r="J163" s="41">
        <f>IF('R10'!$F$158="AY",ROUND(D163*((1+$B163)^($B$24+5)),0),ROUND(I163*(1+$B163),0))</f>
        <v>21612</v>
      </c>
      <c r="K163" s="112">
        <f>IF(C$5=0,0,IF('R10'!$F$158="AY",(E163*C$27+F163*C$28)/C$29,'W10'!E163))</f>
        <v>13419</v>
      </c>
      <c r="L163" s="112">
        <f>IF(D$5=0,0,IF('R10'!$F$158="AY",(F163*D$27+G163*D$28)/D$29,'W10'!F163))</f>
        <v>14761</v>
      </c>
      <c r="M163" s="112">
        <f>IF(E$5=0,0,IF('R10'!$F$158="AY",(G163*E$27+H163*E$28)/E$29,'W10'!G163))</f>
        <v>16237</v>
      </c>
      <c r="N163" s="112">
        <f>IF(F$5=0,0,IF('R10'!$F$158="AY",(H163*F$27+I163*F$28)/F$29,'W10'!H163))</f>
        <v>17861</v>
      </c>
      <c r="O163" s="112">
        <f>IF(G$5=0,0,IF('R10'!$F$158="AY",(I163*G$27+J163*G$28)/G$29,'W10'!I163))</f>
        <v>19647</v>
      </c>
      <c r="P163" s="23"/>
      <c r="Q163" s="23"/>
      <c r="R163" s="23"/>
    </row>
    <row r="164" spans="1:18" x14ac:dyDescent="0.2">
      <c r="A164" s="4">
        <f>'R10'!A161</f>
        <v>0</v>
      </c>
      <c r="B164" s="26">
        <f>'R10'!F161</f>
        <v>0.1</v>
      </c>
      <c r="C164" s="41">
        <f>'R10'!G161</f>
        <v>32994</v>
      </c>
      <c r="D164" s="41">
        <f>IF('R10'!$D$158="Use Buydown",C164*0.75,C164)</f>
        <v>24745.5</v>
      </c>
      <c r="E164" s="41">
        <f>IF('R10'!$F$158="AY",ROUND(D164*((1+B164)^$B$24),0),D164)</f>
        <v>24745.5</v>
      </c>
      <c r="F164" s="41">
        <f>IF('R10'!$F$158="AY",ROUND(D164*((1+$B164)^($B$24+1)),0),ROUND(E164*(1+B164),0))</f>
        <v>27220</v>
      </c>
      <c r="G164" s="41">
        <f>IF('R10'!$F$158="AY",ROUND(D164*((1+$B164)^($B$24+2)),0),ROUND(F164*(1+$B164),0))</f>
        <v>29942</v>
      </c>
      <c r="H164" s="41">
        <f>IF('R10'!$F$158="AY",ROUND(D164*((1+$B164)^($B$24+3)),0),ROUND(G164*(1+$B164),0))</f>
        <v>32936</v>
      </c>
      <c r="I164" s="41">
        <f>IF('R10'!$F$158="AY",ROUND(D164*((1+$B164)^($B$24+4)),0),ROUND(H164*(1+$B164),0))</f>
        <v>36230</v>
      </c>
      <c r="J164" s="41">
        <f>IF('R10'!$F$158="AY",ROUND(D164*((1+$B164)^($B$24+5)),0),ROUND(I164*(1+$B164),0))</f>
        <v>39853</v>
      </c>
      <c r="K164" s="112">
        <f>IF(C$5=0,0,IF('R10'!$F$158="AY",(E164*C$27+F164*C$28)/C$29,'W10'!E164))</f>
        <v>24745.5</v>
      </c>
      <c r="L164" s="112">
        <f>IF(D$5=0,0,IF('R10'!$F$158="AY",(F164*D$27+G164*D$28)/D$29,'W10'!F164))</f>
        <v>27220</v>
      </c>
      <c r="M164" s="112">
        <f>IF(E$5=0,0,IF('R10'!$F$158="AY",(G164*E$27+H164*E$28)/E$29,'W10'!G164))</f>
        <v>29942</v>
      </c>
      <c r="N164" s="112">
        <f>IF(F$5=0,0,IF('R10'!$F$158="AY",(H164*F$27+I164*F$28)/F$29,'W10'!H164))</f>
        <v>32936</v>
      </c>
      <c r="O164" s="112">
        <f>IF(G$5=0,0,IF('R10'!$F$158="AY",(I164*G$27+J164*G$28)/G$29,'W10'!I164))</f>
        <v>36230</v>
      </c>
      <c r="P164" s="23"/>
      <c r="Q164" s="23"/>
      <c r="R164" s="23"/>
    </row>
    <row r="165" spans="1:18" x14ac:dyDescent="0.2">
      <c r="A165" s="4">
        <f>'R10'!A162</f>
        <v>0</v>
      </c>
      <c r="B165" s="26">
        <f>'R10'!F162</f>
        <v>0.1</v>
      </c>
      <c r="C165" s="41">
        <f>'R10'!G162</f>
        <v>17892</v>
      </c>
      <c r="D165" s="41">
        <f>IF('R10'!$D$158="Use Buydown",C165*0.75,C165)</f>
        <v>13419</v>
      </c>
      <c r="E165" s="41">
        <f>IF('R10'!$F$158="AY",ROUND(D165*((1+B165)^$B$24),0),D165)</f>
        <v>13419</v>
      </c>
      <c r="F165" s="41">
        <f>IF('R10'!$F$158="AY",ROUND(D165*((1+$B165)^($B$24+1)),0),ROUND(E165*(1+B165),0))</f>
        <v>14761</v>
      </c>
      <c r="G165" s="41">
        <f>IF('R10'!$F$158="AY",ROUND(D165*((1+$B165)^($B$24+2)),0),ROUND(F165*(1+$B165),0))</f>
        <v>16237</v>
      </c>
      <c r="H165" s="41">
        <f>IF('R10'!$F$158="AY",ROUND(D165*((1+$B165)^($B$24+3)),0),ROUND(G165*(1+$B165),0))</f>
        <v>17861</v>
      </c>
      <c r="I165" s="41">
        <f>IF('R10'!$F$158="AY",ROUND(D165*((1+$B165)^($B$24+4)),0),ROUND(H165*(1+$B165),0))</f>
        <v>19647</v>
      </c>
      <c r="J165" s="41">
        <f>IF('R10'!$F$158="AY",ROUND(D165*((1+$B165)^($B$24+5)),0),ROUND(I165*(1+$B165),0))</f>
        <v>21612</v>
      </c>
      <c r="K165" s="112">
        <f>IF(C$5=0,0,IF('R10'!$F$158="AY",(E165*C$27+F165*C$28)/C$29,'W10'!E165))</f>
        <v>13419</v>
      </c>
      <c r="L165" s="112">
        <f>IF(D$5=0,0,IF('R10'!$F$158="AY",(F165*D$27+G165*D$28)/D$29,'W10'!F165))</f>
        <v>14761</v>
      </c>
      <c r="M165" s="112">
        <f>IF(E$5=0,0,IF('R10'!$F$158="AY",(G165*E$27+H165*E$28)/E$29,'W10'!G165))</f>
        <v>16237</v>
      </c>
      <c r="N165" s="112">
        <f>IF(F$5=0,0,IF('R10'!$F$158="AY",(H165*F$27+I165*F$28)/F$29,'W10'!H165))</f>
        <v>17861</v>
      </c>
      <c r="O165" s="112">
        <f>IF(G$5=0,0,IF('R10'!$F$158="AY",(I165*G$27+J165*G$28)/G$29,'W10'!I165))</f>
        <v>19647</v>
      </c>
      <c r="P165" s="23"/>
      <c r="Q165" s="23"/>
      <c r="R165" s="23"/>
    </row>
    <row r="166" spans="1:18" x14ac:dyDescent="0.2">
      <c r="A166" s="4">
        <f>'R10'!A163</f>
        <v>0</v>
      </c>
      <c r="B166" s="26">
        <f>'R10'!F163</f>
        <v>0.1</v>
      </c>
      <c r="C166" s="41">
        <f>'R10'!G163</f>
        <v>17892</v>
      </c>
      <c r="D166" s="41">
        <f>IF('R10'!$D$158="Use Buydown",C166*0.75,C166)</f>
        <v>13419</v>
      </c>
      <c r="E166" s="41">
        <f>IF('R10'!$F$158="AY",ROUND(D166*((1+B166)^$B$24),0),D166)</f>
        <v>13419</v>
      </c>
      <c r="F166" s="41">
        <f>IF('R10'!$F$158="AY",ROUND(D166*((1+$B166)^($B$24+1)),0),ROUND(E166*(1+B166),0))</f>
        <v>14761</v>
      </c>
      <c r="G166" s="41">
        <f>IF('R10'!$F$158="AY",ROUND(D166*((1+$B166)^($B$24+2)),0),ROUND(F166*(1+$B166),0))</f>
        <v>16237</v>
      </c>
      <c r="H166" s="41">
        <f>IF('R10'!$F$158="AY",ROUND(D166*((1+$B166)^($B$24+3)),0),ROUND(G166*(1+$B166),0))</f>
        <v>17861</v>
      </c>
      <c r="I166" s="41">
        <f>IF('R10'!$F$158="AY",ROUND(D166*((1+$B166)^($B$24+4)),0),ROUND(H166*(1+$B166),0))</f>
        <v>19647</v>
      </c>
      <c r="J166" s="41">
        <f>IF('R10'!$F$158="AY",ROUND(D166*((1+$B166)^($B$24+5)),0),ROUND(I166*(1+$B166),0))</f>
        <v>21612</v>
      </c>
      <c r="K166" s="112">
        <f>IF(C$5=0,0,IF('R10'!$F$158="AY",(E166*C$27+F166*C$28)/C$29,'W10'!E166))</f>
        <v>13419</v>
      </c>
      <c r="L166" s="112">
        <f>IF(D$5=0,0,IF('R10'!$F$158="AY",(F166*D$27+G166*D$28)/D$29,'W10'!F166))</f>
        <v>14761</v>
      </c>
      <c r="M166" s="112">
        <f>IF(E$5=0,0,IF('R10'!$F$158="AY",(G166*E$27+H166*E$28)/E$29,'W10'!G166))</f>
        <v>16237</v>
      </c>
      <c r="N166" s="112">
        <f>IF(F$5=0,0,IF('R10'!$F$158="AY",(H166*F$27+I166*F$28)/F$29,'W10'!H166))</f>
        <v>17861</v>
      </c>
      <c r="O166" s="112">
        <f>IF(G$5=0,0,IF('R10'!$F$158="AY",(I166*G$27+J166*G$28)/G$29,'W10'!I166))</f>
        <v>19647</v>
      </c>
      <c r="P166" s="23"/>
      <c r="Q166" s="23"/>
      <c r="R166" s="23"/>
    </row>
    <row r="167" spans="1:18" x14ac:dyDescent="0.2">
      <c r="A167" s="4">
        <f>'R10'!A164</f>
        <v>0</v>
      </c>
      <c r="B167" s="26">
        <f>'R10'!F164</f>
        <v>0.1</v>
      </c>
      <c r="C167" s="41">
        <f>'R10'!G164</f>
        <v>17892</v>
      </c>
      <c r="D167" s="41">
        <f>IF('R10'!$D$158="Use Buydown",C167*0.75,C167)</f>
        <v>13419</v>
      </c>
      <c r="E167" s="41">
        <f>IF('R10'!$F$158="AY",ROUND(D167*((1+B167)^$B$24),0),D167)</f>
        <v>13419</v>
      </c>
      <c r="F167" s="41">
        <f>IF('R10'!$F$158="AY",ROUND(D167*((1+$B167)^($B$24+1)),0),ROUND(E167*(1+B167),0))</f>
        <v>14761</v>
      </c>
      <c r="G167" s="41">
        <f>IF('R10'!$F$158="AY",ROUND(D167*((1+$B167)^($B$24+2)),0),ROUND(F167*(1+$B167),0))</f>
        <v>16237</v>
      </c>
      <c r="H167" s="41">
        <f>IF('R10'!$F$158="AY",ROUND(D167*((1+$B167)^($B$24+3)),0),ROUND(G167*(1+$B167),0))</f>
        <v>17861</v>
      </c>
      <c r="I167" s="41">
        <f>IF('R10'!$F$158="AY",ROUND(D167*((1+$B167)^($B$24+4)),0),ROUND(H167*(1+$B167),0))</f>
        <v>19647</v>
      </c>
      <c r="J167" s="41">
        <f>IF('R10'!$F$158="AY",ROUND(D167*((1+$B167)^($B$24+5)),0),ROUND(I167*(1+$B167),0))</f>
        <v>21612</v>
      </c>
      <c r="K167" s="112">
        <f>IF(C$5=0,0,IF('R10'!$F$158="AY",(E167*C$27+F167*C$28)/C$29,'W10'!E167))</f>
        <v>13419</v>
      </c>
      <c r="L167" s="112">
        <f>IF(D$5=0,0,IF('R10'!$F$158="AY",(F167*D$27+G167*D$28)/D$29,'W10'!F167))</f>
        <v>14761</v>
      </c>
      <c r="M167" s="112">
        <f>IF(E$5=0,0,IF('R10'!$F$158="AY",(G167*E$27+H167*E$28)/E$29,'W10'!G167))</f>
        <v>16237</v>
      </c>
      <c r="N167" s="112">
        <f>IF(F$5=0,0,IF('R10'!$F$158="AY",(H167*F$27+I167*F$28)/F$29,'W10'!H167))</f>
        <v>17861</v>
      </c>
      <c r="O167" s="112">
        <f>IF(G$5=0,0,IF('R10'!$F$158="AY",(I167*G$27+J167*G$28)/G$29,'W10'!I167))</f>
        <v>19647</v>
      </c>
      <c r="P167" s="23"/>
      <c r="Q167" s="23"/>
      <c r="R167" s="23"/>
    </row>
    <row r="168" spans="1:18" x14ac:dyDescent="0.2">
      <c r="A168" s="4">
        <f>'R10'!A165</f>
        <v>0</v>
      </c>
      <c r="B168" s="26">
        <f>'R10'!F165</f>
        <v>0.1</v>
      </c>
      <c r="C168" s="41">
        <f>'R10'!G165</f>
        <v>17892</v>
      </c>
      <c r="D168" s="41">
        <f>IF('R10'!$D$158="Use Buydown",C168*0.75,C168)</f>
        <v>13419</v>
      </c>
      <c r="E168" s="41">
        <f>IF('R10'!$F$158="AY",ROUND(D168*((1+B168)^$B$24),0),D168)</f>
        <v>13419</v>
      </c>
      <c r="F168" s="41">
        <f>IF('R10'!$F$158="AY",ROUND(D168*((1+$B168)^($B$24+1)),0),ROUND(E168*(1+B168),0))</f>
        <v>14761</v>
      </c>
      <c r="G168" s="41">
        <f>IF('R10'!$F$158="AY",ROUND(D168*((1+$B168)^($B$24+2)),0),ROUND(F168*(1+$B168),0))</f>
        <v>16237</v>
      </c>
      <c r="H168" s="41">
        <f>IF('R10'!$F$158="AY",ROUND(D168*((1+$B168)^($B$24+3)),0),ROUND(G168*(1+$B168),0))</f>
        <v>17861</v>
      </c>
      <c r="I168" s="41">
        <f>IF('R10'!$F$158="AY",ROUND(D168*((1+$B168)^($B$24+4)),0),ROUND(H168*(1+$B168),0))</f>
        <v>19647</v>
      </c>
      <c r="J168" s="41">
        <f>IF('R10'!$F$158="AY",ROUND(D168*((1+$B168)^($B$24+5)),0),ROUND(I168*(1+$B168),0))</f>
        <v>21612</v>
      </c>
      <c r="K168" s="112">
        <f>IF(C$5=0,0,IF('R10'!$F$158="AY",(E168*C$27+F168*C$28)/C$29,'W10'!E168))</f>
        <v>13419</v>
      </c>
      <c r="L168" s="112">
        <f>IF(D$5=0,0,IF('R10'!$F$158="AY",(F168*D$27+G168*D$28)/D$29,'W10'!F168))</f>
        <v>14761</v>
      </c>
      <c r="M168" s="112">
        <f>IF(E$5=0,0,IF('R10'!$F$158="AY",(G168*E$27+H168*E$28)/E$29,'W10'!G168))</f>
        <v>16237</v>
      </c>
      <c r="N168" s="112">
        <f>IF(F$5=0,0,IF('R10'!$F$158="AY",(H168*F$27+I168*F$28)/F$29,'W10'!H168))</f>
        <v>17861</v>
      </c>
      <c r="O168" s="112">
        <f>IF(G$5=0,0,IF('R10'!$F$158="AY",(I168*G$27+J168*G$28)/G$29,'W10'!I168))</f>
        <v>19647</v>
      </c>
    </row>
    <row r="169" spans="1:18" x14ac:dyDescent="0.2">
      <c r="A169" s="4">
        <f>'R10'!A166</f>
        <v>0</v>
      </c>
      <c r="B169" s="26">
        <f>'R10'!F166</f>
        <v>0.1</v>
      </c>
      <c r="C169" s="41">
        <f>'R10'!G166</f>
        <v>17892</v>
      </c>
      <c r="D169" s="41">
        <f>IF('R10'!$D$158="Use Buydown",C169*0.75,C169)</f>
        <v>13419</v>
      </c>
      <c r="E169" s="41">
        <f>IF('R10'!$F$158="AY",ROUND(D169*((1+B169)^$B$24),0),D169)</f>
        <v>13419</v>
      </c>
      <c r="F169" s="41">
        <f>IF('R10'!$F$158="AY",ROUND(D169*((1+$B169)^($B$24+1)),0),ROUND(E169*(1+B169),0))</f>
        <v>14761</v>
      </c>
      <c r="G169" s="41">
        <f>IF('R10'!$F$158="AY",ROUND(D169*((1+$B169)^($B$24+2)),0),ROUND(F169*(1+$B169),0))</f>
        <v>16237</v>
      </c>
      <c r="H169" s="41">
        <f>IF('R10'!$F$158="AY",ROUND(D169*((1+$B169)^($B$24+3)),0),ROUND(G169*(1+$B169),0))</f>
        <v>17861</v>
      </c>
      <c r="I169" s="41">
        <f>IF('R10'!$F$158="AY",ROUND(D169*((1+$B169)^($B$24+4)),0),ROUND(H169*(1+$B169),0))</f>
        <v>19647</v>
      </c>
      <c r="J169" s="41">
        <f>IF('R10'!$F$158="AY",ROUND(D169*((1+$B169)^($B$24+5)),0),ROUND(I169*(1+$B169),0))</f>
        <v>21612</v>
      </c>
      <c r="K169" s="112">
        <f>IF(C$5=0,0,IF('R10'!$F$158="AY",(E169*C$27+F169*C$28)/C$29,'W10'!E169))</f>
        <v>13419</v>
      </c>
      <c r="L169" s="112">
        <f>IF(D$5=0,0,IF('R10'!$F$158="AY",(F169*D$27+G169*D$28)/D$29,'W10'!F169))</f>
        <v>14761</v>
      </c>
      <c r="M169" s="112">
        <f>IF(E$5=0,0,IF('R10'!$F$158="AY",(G169*E$27+H169*E$28)/E$29,'W10'!G169))</f>
        <v>16237</v>
      </c>
      <c r="N169" s="112">
        <f>IF(F$5=0,0,IF('R10'!$F$158="AY",(H169*F$27+I169*F$28)/F$29,'W10'!H169))</f>
        <v>17861</v>
      </c>
      <c r="O169" s="112">
        <f>IF(G$5=0,0,IF('R10'!$F$158="AY",(I169*G$27+J169*G$28)/G$29,'W10'!I169))</f>
        <v>19647</v>
      </c>
    </row>
    <row r="170" spans="1:18" x14ac:dyDescent="0.2">
      <c r="A170" s="4">
        <f>'R10'!A167</f>
        <v>0</v>
      </c>
      <c r="B170" s="26">
        <f>'R10'!F167</f>
        <v>0.1</v>
      </c>
      <c r="C170" s="41">
        <f>'R10'!G167</f>
        <v>17892</v>
      </c>
      <c r="D170" s="41">
        <f>IF('R10'!$D$158="Use Buydown",C170*0.75,C170)</f>
        <v>13419</v>
      </c>
      <c r="E170" s="41">
        <f>IF('R10'!$F$158="AY",ROUND(D170*((1+B170)^$B$24),0),D170)</f>
        <v>13419</v>
      </c>
      <c r="F170" s="41">
        <f>IF('R10'!$F$158="AY",ROUND(D170*((1+$B170)^($B$24+1)),0),ROUND(E170*(1+B170),0))</f>
        <v>14761</v>
      </c>
      <c r="G170" s="41">
        <f>IF('R10'!$F$158="AY",ROUND(D170*((1+$B170)^($B$24+2)),0),ROUND(F170*(1+$B170),0))</f>
        <v>16237</v>
      </c>
      <c r="H170" s="41">
        <f>IF('R10'!$F$158="AY",ROUND(D170*((1+$B170)^($B$24+3)),0),ROUND(G170*(1+$B170),0))</f>
        <v>17861</v>
      </c>
      <c r="I170" s="41">
        <f>IF('R10'!$F$158="AY",ROUND(D170*((1+$B170)^($B$24+4)),0),ROUND(H170*(1+$B170),0))</f>
        <v>19647</v>
      </c>
      <c r="J170" s="41">
        <f>IF('R10'!$F$158="AY",ROUND(D170*((1+$B170)^($B$24+5)),0),ROUND(I170*(1+$B170),0))</f>
        <v>21612</v>
      </c>
      <c r="K170" s="112">
        <f>IF(C$5=0,0,IF('R10'!$F$158="AY",(E170*C$27+F170*C$28)/C$29,'W10'!E170))</f>
        <v>13419</v>
      </c>
      <c r="L170" s="112">
        <f>IF(D$5=0,0,IF('R10'!$F$158="AY",(F170*D$27+G170*D$28)/D$29,'W10'!F170))</f>
        <v>14761</v>
      </c>
      <c r="M170" s="112">
        <f>IF(E$5=0,0,IF('R10'!$F$158="AY",(G170*E$27+H170*E$28)/E$29,'W10'!G170))</f>
        <v>16237</v>
      </c>
      <c r="N170" s="112">
        <f>IF(F$5=0,0,IF('R10'!$F$158="AY",(H170*F$27+I170*F$28)/F$29,'W10'!H170))</f>
        <v>17861</v>
      </c>
      <c r="O170" s="112">
        <f>IF(G$5=0,0,IF('R10'!$F$158="AY",(I170*G$27+J170*G$28)/G$29,'W10'!I170))</f>
        <v>19647</v>
      </c>
    </row>
    <row r="171" spans="1:18" x14ac:dyDescent="0.2">
      <c r="A171" s="4">
        <f>'R10'!A168</f>
        <v>0</v>
      </c>
      <c r="B171" s="26">
        <f>'R10'!F168</f>
        <v>0.1</v>
      </c>
      <c r="C171" s="41">
        <f>'R10'!G168</f>
        <v>17892</v>
      </c>
      <c r="D171" s="41">
        <f>IF('R10'!$D$158="Use Buydown",C171*0.75,C171)</f>
        <v>13419</v>
      </c>
      <c r="E171" s="41">
        <f>IF('R10'!$F$158="AY",ROUND(D171*((1+B171)^$B$24),0),D171)</f>
        <v>13419</v>
      </c>
      <c r="F171" s="41">
        <f>IF('R10'!$F$158="AY",ROUND(D171*((1+$B171)^($B$24+1)),0),ROUND(E171*(1+B171),0))</f>
        <v>14761</v>
      </c>
      <c r="G171" s="41">
        <f>IF('R10'!$F$158="AY",ROUND(D171*((1+$B171)^($B$24+2)),0),ROUND(F171*(1+$B171),0))</f>
        <v>16237</v>
      </c>
      <c r="H171" s="41">
        <f>IF('R10'!$F$158="AY",ROUND(D171*((1+$B171)^($B$24+3)),0),ROUND(G171*(1+$B171),0))</f>
        <v>17861</v>
      </c>
      <c r="I171" s="41">
        <f>IF('R10'!$F$158="AY",ROUND(D171*((1+$B171)^($B$24+4)),0),ROUND(H171*(1+$B171),0))</f>
        <v>19647</v>
      </c>
      <c r="J171" s="41">
        <f>IF('R10'!$F$158="AY",ROUND(D171*((1+$B171)^($B$24+5)),0),ROUND(I171*(1+$B171),0))</f>
        <v>21612</v>
      </c>
      <c r="K171" s="112">
        <f>IF(C$5=0,0,IF('R10'!$F$158="AY",(E171*C$27+F171*C$28)/C$29,'W10'!E171))</f>
        <v>13419</v>
      </c>
      <c r="L171" s="112">
        <f>IF(D$5=0,0,IF('R10'!$F$158="AY",(F171*D$27+G171*D$28)/D$29,'W10'!F171))</f>
        <v>14761</v>
      </c>
      <c r="M171" s="112">
        <f>IF(E$5=0,0,IF('R10'!$F$158="AY",(G171*E$27+H171*E$28)/E$29,'W10'!G171))</f>
        <v>16237</v>
      </c>
      <c r="N171" s="112">
        <f>IF(F$5=0,0,IF('R10'!$F$158="AY",(H171*F$27+I171*F$28)/F$29,'W10'!H171))</f>
        <v>17861</v>
      </c>
      <c r="O171" s="112">
        <f>IF(G$5=0,0,IF('R10'!$F$158="AY",(I171*G$27+J171*G$28)/G$29,'W10'!I171))</f>
        <v>19647</v>
      </c>
    </row>
    <row r="172" spans="1:18" x14ac:dyDescent="0.2">
      <c r="A172" s="4">
        <f>'R10'!A169</f>
        <v>0</v>
      </c>
      <c r="B172" s="26">
        <f>'R10'!F169</f>
        <v>0.1</v>
      </c>
      <c r="C172" s="41">
        <f>'R10'!G169</f>
        <v>17892</v>
      </c>
      <c r="D172" s="41">
        <f>IF('R10'!$D$158="Use Buydown",C172*0.75,C172)</f>
        <v>13419</v>
      </c>
      <c r="E172" s="41">
        <f>IF('R10'!$F$158="AY",ROUND(D172*((1+B172)^$B$24),0),D172)</f>
        <v>13419</v>
      </c>
      <c r="F172" s="41">
        <f>IF('R10'!$F$158="AY",ROUND(D172*((1+$B172)^($B$24+1)),0),ROUND(E172*(1+B172),0))</f>
        <v>14761</v>
      </c>
      <c r="G172" s="41">
        <f>IF('R10'!$F$158="AY",ROUND(D172*((1+$B172)^($B$24+2)),0),ROUND(F172*(1+$B172),0))</f>
        <v>16237</v>
      </c>
      <c r="H172" s="41">
        <f>IF('R10'!$F$158="AY",ROUND(D172*((1+$B172)^($B$24+3)),0),ROUND(G172*(1+$B172),0))</f>
        <v>17861</v>
      </c>
      <c r="I172" s="41">
        <f>IF('R10'!$F$158="AY",ROUND(D172*((1+$B172)^($B$24+4)),0),ROUND(H172*(1+$B172),0))</f>
        <v>19647</v>
      </c>
      <c r="J172" s="41">
        <f>IF('R10'!$F$158="AY",ROUND(D172*((1+$B172)^($B$24+5)),0),ROUND(I172*(1+$B172),0))</f>
        <v>21612</v>
      </c>
      <c r="K172" s="112">
        <f>IF(C$5=0,0,IF('R10'!$F$158="AY",(E172*C$27+F172*C$28)/C$29,'W10'!E172))</f>
        <v>13419</v>
      </c>
      <c r="L172" s="112">
        <f>IF(D$5=0,0,IF('R10'!$F$158="AY",(F172*D$27+G172*D$28)/D$29,'W10'!F172))</f>
        <v>14761</v>
      </c>
      <c r="M172" s="112">
        <f>IF(E$5=0,0,IF('R10'!$F$158="AY",(G172*E$27+H172*E$28)/E$29,'W10'!G172))</f>
        <v>16237</v>
      </c>
      <c r="N172" s="112">
        <f>IF(F$5=0,0,IF('R10'!$F$158="AY",(H172*F$27+I172*F$28)/F$29,'W10'!H172))</f>
        <v>17861</v>
      </c>
      <c r="O172" s="112">
        <f>IF(G$5=0,0,IF('R10'!$F$158="AY",(I172*G$27+J172*G$28)/G$29,'W10'!I172))</f>
        <v>19647</v>
      </c>
    </row>
    <row r="173" spans="1:18" x14ac:dyDescent="0.2">
      <c r="A173" s="4">
        <f>'R10'!A170</f>
        <v>0</v>
      </c>
      <c r="B173" s="26">
        <f>'R10'!F170</f>
        <v>0.1</v>
      </c>
      <c r="C173" s="41">
        <f>'R10'!G170</f>
        <v>17892</v>
      </c>
      <c r="D173" s="41">
        <f>IF('R10'!$D$158="Use Buydown",C173*0.75,C173)</f>
        <v>13419</v>
      </c>
      <c r="E173" s="41">
        <f>IF('R10'!$F$158="AY",ROUND(D173*((1+B173)^$B$24),0),D173)</f>
        <v>13419</v>
      </c>
      <c r="F173" s="41">
        <f>IF('R10'!$F$158="AY",ROUND(D173*((1+$B173)^($B$24+1)),0),ROUND(E173*(1+B173),0))</f>
        <v>14761</v>
      </c>
      <c r="G173" s="41">
        <f>IF('R10'!$F$158="AY",ROUND(D173*((1+$B173)^($B$24+2)),0),ROUND(F173*(1+$B173),0))</f>
        <v>16237</v>
      </c>
      <c r="H173" s="41">
        <f>IF('R10'!$F$158="AY",ROUND(D173*((1+$B173)^($B$24+3)),0),ROUND(G173*(1+$B173),0))</f>
        <v>17861</v>
      </c>
      <c r="I173" s="41">
        <f>IF('R10'!$F$158="AY",ROUND(D173*((1+$B173)^($B$24+4)),0),ROUND(H173*(1+$B173),0))</f>
        <v>19647</v>
      </c>
      <c r="J173" s="41">
        <f>IF('R10'!$F$158="AY",ROUND(D173*((1+$B173)^($B$24+5)),0),ROUND(I173*(1+$B173),0))</f>
        <v>21612</v>
      </c>
      <c r="K173" s="112">
        <f>IF(C$5=0,0,IF('R10'!$F$158="AY",(E173*C$27+F173*C$28)/C$29,'W10'!E173))</f>
        <v>13419</v>
      </c>
      <c r="L173" s="112">
        <f>IF(D$5=0,0,IF('R10'!$F$158="AY",(F173*D$27+G173*D$28)/D$29,'W10'!F173))</f>
        <v>14761</v>
      </c>
      <c r="M173" s="112">
        <f>IF(E$5=0,0,IF('R10'!$F$158="AY",(G173*E$27+H173*E$28)/E$29,'W10'!G173))</f>
        <v>16237</v>
      </c>
      <c r="N173" s="112">
        <f>IF(F$5=0,0,IF('R10'!$F$158="AY",(H173*F$27+I173*F$28)/F$29,'W10'!H173))</f>
        <v>17861</v>
      </c>
      <c r="O173" s="112">
        <f>IF(G$5=0,0,IF('R10'!$F$158="AY",(I173*G$27+J173*G$28)/G$29,'W10'!I173))</f>
        <v>19647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>
        <f>'R10'!B8</f>
        <v>0</v>
      </c>
      <c r="B177" s="131">
        <f>C5</f>
        <v>12</v>
      </c>
      <c r="C177" s="131">
        <f t="shared" ref="C177:F177" si="35">D5</f>
        <v>12</v>
      </c>
      <c r="D177" s="131">
        <f t="shared" si="35"/>
        <v>12</v>
      </c>
      <c r="E177" s="131">
        <f t="shared" si="35"/>
        <v>12</v>
      </c>
      <c r="F177" s="131">
        <f t="shared" si="35"/>
        <v>12</v>
      </c>
      <c r="G177" s="70">
        <f>'R10'!L8</f>
        <v>12</v>
      </c>
      <c r="H177" s="70">
        <f>IF('P10'!$L3="No",('R10'!F8*B177/12*'R10'!$L8),('R10'!F8*'W10'!B177))</f>
        <v>0</v>
      </c>
      <c r="I177" s="70">
        <f>IF('P10'!$L3="No",('R10'!G8*C177/12*'R10'!$L8),('R10'!G8*'W10'!C177))</f>
        <v>0</v>
      </c>
      <c r="J177" s="70">
        <f>IF('P10'!$L3="No",('R10'!H8*D177/12*'R10'!$L8),('R10'!H8*'W10'!D177))</f>
        <v>0</v>
      </c>
      <c r="K177" s="70">
        <f>IF('P10'!$L3="No",('R10'!I8*E177/12*'R10'!$L8),('R10'!I8*'W10'!E177))</f>
        <v>0</v>
      </c>
      <c r="L177" s="70">
        <f>IF('P10'!$L3="No",('R10'!J8*F177/12*'R10'!$L8),('R10'!J8*'W10'!F177))</f>
        <v>0</v>
      </c>
    </row>
    <row r="178" spans="1:12" x14ac:dyDescent="0.2">
      <c r="A178" s="40">
        <f>'R10'!B9</f>
        <v>0</v>
      </c>
      <c r="B178" s="131">
        <f>B177</f>
        <v>12</v>
      </c>
      <c r="C178" s="131">
        <f t="shared" ref="C178:F193" si="36">C177</f>
        <v>12</v>
      </c>
      <c r="D178" s="131">
        <f t="shared" si="36"/>
        <v>12</v>
      </c>
      <c r="E178" s="131">
        <f t="shared" si="36"/>
        <v>12</v>
      </c>
      <c r="F178" s="131">
        <f t="shared" si="36"/>
        <v>12</v>
      </c>
      <c r="G178" s="70">
        <f>'R10'!L9</f>
        <v>12</v>
      </c>
      <c r="H178" s="70">
        <f>IF('P10'!L4="No",('R10'!F9*B178/12*'R10'!$L9),('R10'!F9*'W10'!B178))</f>
        <v>0</v>
      </c>
      <c r="I178" s="70">
        <f>IF('P10'!$L4="No",('R10'!G9*C178/12*'R10'!$L9),('R10'!G9*'W10'!C178))</f>
        <v>0</v>
      </c>
      <c r="J178" s="70">
        <f>IF('P10'!$L4="No",('R10'!H9*D178/12*'R10'!$L9),('R10'!H9*'W10'!D178))</f>
        <v>0</v>
      </c>
      <c r="K178" s="70">
        <f>IF('P10'!$L4="No",('R10'!I9*E178/12*'R10'!$L9),('R10'!I9*'W10'!E178))</f>
        <v>0</v>
      </c>
      <c r="L178" s="70">
        <f>IF('P10'!$L4="No",('R10'!J9*F178/12*'R10'!$L9),('R10'!J9*'W10'!F178))</f>
        <v>0</v>
      </c>
    </row>
    <row r="179" spans="1:12" x14ac:dyDescent="0.2">
      <c r="A179" s="40">
        <f>'R10'!B10</f>
        <v>0</v>
      </c>
      <c r="B179" s="131">
        <f t="shared" ref="B179:F194" si="37">B178</f>
        <v>12</v>
      </c>
      <c r="C179" s="131">
        <f t="shared" si="36"/>
        <v>12</v>
      </c>
      <c r="D179" s="131">
        <f t="shared" si="36"/>
        <v>12</v>
      </c>
      <c r="E179" s="131">
        <f t="shared" si="36"/>
        <v>12</v>
      </c>
      <c r="F179" s="131">
        <f t="shared" si="36"/>
        <v>12</v>
      </c>
      <c r="G179" s="70">
        <f>'R10'!L10</f>
        <v>12</v>
      </c>
      <c r="H179" s="70">
        <f>IF('P10'!L5="No",('R10'!F10*B179/12*'R10'!$L10),('R10'!F10*'W10'!B179))</f>
        <v>0</v>
      </c>
      <c r="I179" s="70">
        <f>IF('P10'!$L5="No",('R10'!G10*C179/12*'R10'!$L10),('R10'!G10*'W10'!C179))</f>
        <v>0</v>
      </c>
      <c r="J179" s="70">
        <f>IF('P10'!$L5="No",('R10'!H10*D179/12*'R10'!$L10),('R10'!H10*'W10'!D179))</f>
        <v>0</v>
      </c>
      <c r="K179" s="70">
        <f>IF('P10'!$L5="No",('R10'!I10*E179/12*'R10'!$L10),('R10'!I10*'W10'!E179))</f>
        <v>0</v>
      </c>
      <c r="L179" s="70">
        <f>IF('P10'!$L5="No",('R10'!J10*F179/12*'R10'!$L10),('R10'!J10*'W10'!F179))</f>
        <v>0</v>
      </c>
    </row>
    <row r="180" spans="1:12" x14ac:dyDescent="0.2">
      <c r="A180" s="40">
        <f>'R10'!B11</f>
        <v>0</v>
      </c>
      <c r="B180" s="131">
        <f t="shared" si="37"/>
        <v>12</v>
      </c>
      <c r="C180" s="131">
        <f t="shared" si="36"/>
        <v>12</v>
      </c>
      <c r="D180" s="131">
        <f t="shared" si="36"/>
        <v>12</v>
      </c>
      <c r="E180" s="131">
        <f t="shared" si="36"/>
        <v>12</v>
      </c>
      <c r="F180" s="131">
        <f t="shared" si="36"/>
        <v>12</v>
      </c>
      <c r="G180" s="70">
        <f>'R10'!L11</f>
        <v>12</v>
      </c>
      <c r="H180" s="70">
        <f>IF('P10'!L6="No",('R10'!F11*B180/12*'R10'!$L11),('R10'!F11*'W10'!B180))</f>
        <v>0</v>
      </c>
      <c r="I180" s="70">
        <f>IF('P10'!$L6="No",('R10'!G11*C180/12*'R10'!$L11),('R10'!G11*'W10'!C180))</f>
        <v>0</v>
      </c>
      <c r="J180" s="70">
        <f>IF('P10'!$L6="No",('R10'!H11*D180/12*'R10'!$L11),('R10'!H11*'W10'!D180))</f>
        <v>0</v>
      </c>
      <c r="K180" s="70">
        <f>IF('P10'!$L6="No",('R10'!I11*E180/12*'R10'!$L11),('R10'!I11*'W10'!E180))</f>
        <v>0</v>
      </c>
      <c r="L180" s="70">
        <f>IF('P10'!$L6="No",('R10'!J11*F180/12*'R10'!$L11),('R10'!J11*'W10'!F180))</f>
        <v>0</v>
      </c>
    </row>
    <row r="181" spans="1:12" x14ac:dyDescent="0.2">
      <c r="A181" s="40">
        <f>'R10'!B12</f>
        <v>0</v>
      </c>
      <c r="B181" s="131">
        <f t="shared" si="37"/>
        <v>12</v>
      </c>
      <c r="C181" s="131">
        <f t="shared" si="36"/>
        <v>12</v>
      </c>
      <c r="D181" s="131">
        <f t="shared" si="36"/>
        <v>12</v>
      </c>
      <c r="E181" s="131">
        <f t="shared" si="36"/>
        <v>12</v>
      </c>
      <c r="F181" s="131">
        <f t="shared" si="36"/>
        <v>12</v>
      </c>
      <c r="G181" s="70">
        <f>'R10'!L12</f>
        <v>12</v>
      </c>
      <c r="H181" s="70">
        <f>IF('P10'!L7="No",('R10'!F12*B181/12*'R10'!$L12),('R10'!F12*'W10'!B181))</f>
        <v>0</v>
      </c>
      <c r="I181" s="70">
        <f>IF('P10'!$L7="No",('R10'!G12*C181/12*'R10'!$L12),('R10'!G12*'W10'!C181))</f>
        <v>0</v>
      </c>
      <c r="J181" s="70">
        <f>IF('P10'!$L7="No",('R10'!H12*D181/12*'R10'!$L12),('R10'!H12*'W10'!D181))</f>
        <v>0</v>
      </c>
      <c r="K181" s="70">
        <f>IF('P10'!$L7="No",('R10'!I12*E181/12*'R10'!$L12),('R10'!I12*'W10'!E181))</f>
        <v>0</v>
      </c>
      <c r="L181" s="70">
        <f>IF('P10'!$L7="No",('R10'!J12*F181/12*'R10'!$L12),('R10'!J12*'W10'!F181))</f>
        <v>0</v>
      </c>
    </row>
    <row r="182" spans="1:12" x14ac:dyDescent="0.2">
      <c r="A182" s="40">
        <f>'R10'!B13</f>
        <v>0</v>
      </c>
      <c r="B182" s="131">
        <f t="shared" si="37"/>
        <v>12</v>
      </c>
      <c r="C182" s="131">
        <f t="shared" si="36"/>
        <v>12</v>
      </c>
      <c r="D182" s="131">
        <f t="shared" si="36"/>
        <v>12</v>
      </c>
      <c r="E182" s="131">
        <f t="shared" si="36"/>
        <v>12</v>
      </c>
      <c r="F182" s="131">
        <f t="shared" si="36"/>
        <v>12</v>
      </c>
      <c r="G182" s="70">
        <f>'R10'!L13</f>
        <v>12</v>
      </c>
      <c r="H182" s="70">
        <f>IF('P10'!L8="No",('R10'!F13*B182/12*'R10'!$L13),('R10'!F13*'W10'!B182))</f>
        <v>0</v>
      </c>
      <c r="I182" s="70">
        <f>IF('P10'!$L8="No",('R10'!G13*C182/12*'R10'!$L13),('R10'!G13*'W10'!C182))</f>
        <v>0</v>
      </c>
      <c r="J182" s="70">
        <f>IF('P10'!$L8="No",('R10'!H13*D182/12*'R10'!$L13),('R10'!H13*'W10'!D182))</f>
        <v>0</v>
      </c>
      <c r="K182" s="70">
        <f>IF('P10'!$L8="No",('R10'!I13*E182/12*'R10'!$L13),('R10'!I13*'W10'!E182))</f>
        <v>0</v>
      </c>
      <c r="L182" s="70">
        <f>IF('P10'!$L8="No",('R10'!J13*F182/12*'R10'!$L13),('R10'!J13*'W10'!F182))</f>
        <v>0</v>
      </c>
    </row>
    <row r="183" spans="1:12" x14ac:dyDescent="0.2">
      <c r="A183" s="40">
        <f>'R10'!B14</f>
        <v>0</v>
      </c>
      <c r="B183" s="131">
        <f t="shared" si="37"/>
        <v>12</v>
      </c>
      <c r="C183" s="131">
        <f t="shared" si="36"/>
        <v>12</v>
      </c>
      <c r="D183" s="131">
        <f t="shared" si="36"/>
        <v>12</v>
      </c>
      <c r="E183" s="131">
        <f t="shared" si="36"/>
        <v>12</v>
      </c>
      <c r="F183" s="131">
        <f t="shared" si="36"/>
        <v>12</v>
      </c>
      <c r="G183" s="70">
        <f>'R10'!L14</f>
        <v>12</v>
      </c>
      <c r="H183" s="70">
        <f>IF('P10'!L9="No",('R10'!F14*B183/12*'R10'!$L14),('R10'!F14*'W10'!B183))</f>
        <v>0</v>
      </c>
      <c r="I183" s="70">
        <f>IF('P10'!$L9="No",('R10'!G14*C183/12*'R10'!$L14),('R10'!G14*'W10'!C183))</f>
        <v>0</v>
      </c>
      <c r="J183" s="70">
        <f>IF('P10'!$L9="No",('R10'!H14*D183/12*'R10'!$L14),('R10'!H14*'W10'!D183))</f>
        <v>0</v>
      </c>
      <c r="K183" s="70">
        <f>IF('P10'!$L9="No",('R10'!I14*E183/12*'R10'!$L14),('R10'!I14*'W10'!E183))</f>
        <v>0</v>
      </c>
      <c r="L183" s="70">
        <f>IF('P10'!$L9="No",('R10'!J14*F183/12*'R10'!$L14),('R10'!J14*'W10'!F183))</f>
        <v>0</v>
      </c>
    </row>
    <row r="184" spans="1:12" x14ac:dyDescent="0.2">
      <c r="A184" s="40">
        <f>'R10'!B15</f>
        <v>0</v>
      </c>
      <c r="B184" s="131">
        <f t="shared" si="37"/>
        <v>12</v>
      </c>
      <c r="C184" s="131">
        <f t="shared" si="36"/>
        <v>12</v>
      </c>
      <c r="D184" s="131">
        <f t="shared" si="36"/>
        <v>12</v>
      </c>
      <c r="E184" s="131">
        <f t="shared" si="36"/>
        <v>12</v>
      </c>
      <c r="F184" s="131">
        <f t="shared" si="36"/>
        <v>12</v>
      </c>
      <c r="G184" s="70">
        <f>'R10'!L15</f>
        <v>12</v>
      </c>
      <c r="H184" s="70">
        <f>IF('P10'!L10="No",('R10'!F15*B184/12*'R10'!$L15),('R10'!F15*'W10'!B184))</f>
        <v>0</v>
      </c>
      <c r="I184" s="70">
        <f>IF('P10'!$L10="No",('R10'!G15*C184/12*'R10'!$L15),('R10'!G15*'W10'!C184))</f>
        <v>0</v>
      </c>
      <c r="J184" s="70">
        <f>IF('P10'!$L10="No",('R10'!H15*D184/12*'R10'!$L15),('R10'!H15*'W10'!D184))</f>
        <v>0</v>
      </c>
      <c r="K184" s="70">
        <f>IF('P10'!$L10="No",('R10'!I15*E184/12*'R10'!$L15),('R10'!I15*'W10'!E184))</f>
        <v>0</v>
      </c>
      <c r="L184" s="70">
        <f>IF('P10'!$L10="No",('R10'!J15*F184/12*'R10'!$L15),('R10'!J15*'W10'!F184))</f>
        <v>0</v>
      </c>
    </row>
    <row r="185" spans="1:12" x14ac:dyDescent="0.2">
      <c r="A185" s="40">
        <f>'R10'!B16</f>
        <v>0</v>
      </c>
      <c r="B185" s="131">
        <f t="shared" si="37"/>
        <v>12</v>
      </c>
      <c r="C185" s="131">
        <f t="shared" si="36"/>
        <v>12</v>
      </c>
      <c r="D185" s="131">
        <f t="shared" si="36"/>
        <v>12</v>
      </c>
      <c r="E185" s="131">
        <f t="shared" si="36"/>
        <v>12</v>
      </c>
      <c r="F185" s="131">
        <f t="shared" si="36"/>
        <v>12</v>
      </c>
      <c r="G185" s="70">
        <f>'R10'!L16</f>
        <v>12</v>
      </c>
      <c r="H185" s="70">
        <f>IF('P10'!L11="No",('R10'!F16*B185/12*'R10'!$L16),('R10'!F16*'W10'!B185))</f>
        <v>0</v>
      </c>
      <c r="I185" s="70">
        <f>IF('P10'!$L11="No",('R10'!G16*C185/12*'R10'!$L16),('R10'!G16*'W10'!C185))</f>
        <v>0</v>
      </c>
      <c r="J185" s="70">
        <f>IF('P10'!$L11="No",('R10'!H16*D185/12*'R10'!$L16),('R10'!H16*'W10'!D185))</f>
        <v>0</v>
      </c>
      <c r="K185" s="70">
        <f>IF('P10'!$L11="No",('R10'!I16*E185/12*'R10'!$L16),('R10'!I16*'W10'!E185))</f>
        <v>0</v>
      </c>
      <c r="L185" s="70">
        <f>IF('P10'!$L11="No",('R10'!J16*F185/12*'R10'!$L16),('R10'!J16*'W10'!F185))</f>
        <v>0</v>
      </c>
    </row>
    <row r="186" spans="1:12" x14ac:dyDescent="0.2">
      <c r="A186" s="40">
        <f>'R10'!B17</f>
        <v>0</v>
      </c>
      <c r="B186" s="131">
        <f t="shared" si="37"/>
        <v>12</v>
      </c>
      <c r="C186" s="131">
        <f t="shared" si="36"/>
        <v>12</v>
      </c>
      <c r="D186" s="131">
        <f t="shared" si="36"/>
        <v>12</v>
      </c>
      <c r="E186" s="131">
        <f t="shared" si="36"/>
        <v>12</v>
      </c>
      <c r="F186" s="131">
        <f t="shared" si="36"/>
        <v>12</v>
      </c>
      <c r="G186" s="70">
        <f>'R10'!L17</f>
        <v>12</v>
      </c>
      <c r="H186" s="70">
        <f>IF('P10'!L12="No",('R10'!F17*B186/12*'R10'!$L17),('R10'!F17*'W10'!B186))</f>
        <v>0</v>
      </c>
      <c r="I186" s="70">
        <f>IF('P10'!$L12="No",('R10'!G17*C186/12*'R10'!$L17),('R10'!G17*'W10'!C186))</f>
        <v>0</v>
      </c>
      <c r="J186" s="70">
        <f>IF('P10'!$L12="No",('R10'!H17*D186/12*'R10'!$L17),('R10'!H17*'W10'!D186))</f>
        <v>0</v>
      </c>
      <c r="K186" s="70">
        <f>IF('P10'!$L12="No",('R10'!I17*E186/12*'R10'!$L17),('R10'!I17*'W10'!E186))</f>
        <v>0</v>
      </c>
      <c r="L186" s="70">
        <f>IF('P10'!$L12="No",('R10'!J17*F186/12*'R10'!$L17),('R10'!J17*'W10'!F186))</f>
        <v>0</v>
      </c>
    </row>
    <row r="187" spans="1:12" x14ac:dyDescent="0.2">
      <c r="A187" s="40">
        <f>'R10'!B18</f>
        <v>0</v>
      </c>
      <c r="B187" s="131">
        <f t="shared" si="37"/>
        <v>12</v>
      </c>
      <c r="C187" s="131">
        <f t="shared" si="36"/>
        <v>12</v>
      </c>
      <c r="D187" s="131">
        <f t="shared" si="36"/>
        <v>12</v>
      </c>
      <c r="E187" s="131">
        <f t="shared" si="36"/>
        <v>12</v>
      </c>
      <c r="F187" s="131">
        <f t="shared" si="36"/>
        <v>12</v>
      </c>
      <c r="G187" s="70">
        <f>'R10'!L18</f>
        <v>12</v>
      </c>
      <c r="H187" s="70">
        <f>IF('P10'!L13="No",('R10'!F18*B187/12*'R10'!$L18),('R10'!F18*'W10'!B187))</f>
        <v>0</v>
      </c>
      <c r="I187" s="70">
        <f>IF('P10'!$L13="No",('R10'!G18*C187/12*'R10'!$L18),('R10'!G18*'W10'!C187))</f>
        <v>0</v>
      </c>
      <c r="J187" s="70">
        <f>IF('P10'!$L13="No",('R10'!H18*D187/12*'R10'!$L18),('R10'!H18*'W10'!D187))</f>
        <v>0</v>
      </c>
      <c r="K187" s="70">
        <f>IF('P10'!$L13="No",('R10'!I18*E187/12*'R10'!$L18),('R10'!I18*'W10'!E187))</f>
        <v>0</v>
      </c>
      <c r="L187" s="70">
        <f>IF('P10'!$L13="No",('R10'!J18*F187/12*'R10'!$L18),('R10'!J18*'W10'!F187))</f>
        <v>0</v>
      </c>
    </row>
    <row r="188" spans="1:12" x14ac:dyDescent="0.2">
      <c r="A188" s="40">
        <f>'R10'!B19</f>
        <v>0</v>
      </c>
      <c r="B188" s="131">
        <f t="shared" si="37"/>
        <v>12</v>
      </c>
      <c r="C188" s="131">
        <f t="shared" si="36"/>
        <v>12</v>
      </c>
      <c r="D188" s="131">
        <f t="shared" si="36"/>
        <v>12</v>
      </c>
      <c r="E188" s="131">
        <f t="shared" si="36"/>
        <v>12</v>
      </c>
      <c r="F188" s="131">
        <f t="shared" si="36"/>
        <v>12</v>
      </c>
      <c r="G188" s="70">
        <f>'R10'!L19</f>
        <v>12</v>
      </c>
      <c r="H188" s="70">
        <f>IF('P10'!L14="No",('R10'!F19*B188/12*'R10'!$L19),('R10'!F19*'W10'!B188))</f>
        <v>0</v>
      </c>
      <c r="I188" s="70">
        <f>IF('P10'!$L14="No",('R10'!G19*C188/12*'R10'!$L19),('R10'!G19*'W10'!C188))</f>
        <v>0</v>
      </c>
      <c r="J188" s="70">
        <f>IF('P10'!$L14="No",('R10'!H19*D188/12*'R10'!$L19),('R10'!H19*'W10'!D188))</f>
        <v>0</v>
      </c>
      <c r="K188" s="70">
        <f>IF('P10'!$L14="No",('R10'!I19*E188/12*'R10'!$L19),('R10'!I19*'W10'!E188))</f>
        <v>0</v>
      </c>
      <c r="L188" s="70">
        <f>IF('P10'!$L14="No",('R10'!J19*F188/12*'R10'!$L19),('R10'!J19*'W10'!F188))</f>
        <v>0</v>
      </c>
    </row>
    <row r="189" spans="1:12" x14ac:dyDescent="0.2">
      <c r="A189" s="40">
        <f>'R10'!B20</f>
        <v>0</v>
      </c>
      <c r="B189" s="131">
        <f t="shared" si="37"/>
        <v>12</v>
      </c>
      <c r="C189" s="131">
        <f t="shared" si="36"/>
        <v>12</v>
      </c>
      <c r="D189" s="131">
        <f t="shared" si="36"/>
        <v>12</v>
      </c>
      <c r="E189" s="131">
        <f t="shared" si="36"/>
        <v>12</v>
      </c>
      <c r="F189" s="131">
        <f t="shared" si="36"/>
        <v>12</v>
      </c>
      <c r="G189" s="70">
        <f>'R10'!L20</f>
        <v>12</v>
      </c>
      <c r="H189" s="70">
        <f>IF('P10'!L15="No",('R10'!F20*B189/12*'R10'!$L20),('R10'!F20*'W10'!B189))</f>
        <v>0</v>
      </c>
      <c r="I189" s="70">
        <f>IF('P10'!$L15="No",('R10'!G20*C189/12*'R10'!$L20),('R10'!G20*'W10'!C189))</f>
        <v>0</v>
      </c>
      <c r="J189" s="70">
        <f>IF('P10'!$L15="No",('R10'!H20*D189/12*'R10'!$L20),('R10'!H20*'W10'!D189))</f>
        <v>0</v>
      </c>
      <c r="K189" s="70">
        <f>IF('P10'!$L15="No",('R10'!I20*E189/12*'R10'!$L20),('R10'!I20*'W10'!E189))</f>
        <v>0</v>
      </c>
      <c r="L189" s="70">
        <f>IF('P10'!$L15="No",('R10'!J20*F189/12*'R10'!$L20),('R10'!J20*'W10'!F189))</f>
        <v>0</v>
      </c>
    </row>
    <row r="190" spans="1:12" x14ac:dyDescent="0.2">
      <c r="A190" s="40">
        <f>'R10'!B21</f>
        <v>0</v>
      </c>
      <c r="B190" s="131">
        <f t="shared" si="37"/>
        <v>12</v>
      </c>
      <c r="C190" s="131">
        <f t="shared" si="36"/>
        <v>12</v>
      </c>
      <c r="D190" s="131">
        <f t="shared" si="36"/>
        <v>12</v>
      </c>
      <c r="E190" s="131">
        <f t="shared" si="36"/>
        <v>12</v>
      </c>
      <c r="F190" s="131">
        <f t="shared" si="36"/>
        <v>12</v>
      </c>
      <c r="G190" s="70">
        <f>'R10'!L21</f>
        <v>12</v>
      </c>
      <c r="H190" s="70">
        <f>IF('P10'!L16="No",('R10'!F21*B190/12*'R10'!$L21),('R10'!F21*'W10'!B190))</f>
        <v>0</v>
      </c>
      <c r="I190" s="70">
        <f>IF('P10'!$L16="No",('R10'!G21*C190/12*'R10'!$L21),('R10'!G21*'W10'!C190))</f>
        <v>0</v>
      </c>
      <c r="J190" s="70">
        <f>IF('P10'!$L16="No",('R10'!H21*D190/12*'R10'!$L21),('R10'!H21*'W10'!D190))</f>
        <v>0</v>
      </c>
      <c r="K190" s="70">
        <f>IF('P10'!$L16="No",('R10'!I21*E190/12*'R10'!$L21),('R10'!I21*'W10'!E190))</f>
        <v>0</v>
      </c>
      <c r="L190" s="70">
        <f>IF('P10'!$L16="No",('R10'!J21*F190/12*'R10'!$L21),('R10'!J21*'W10'!F190))</f>
        <v>0</v>
      </c>
    </row>
    <row r="191" spans="1:12" x14ac:dyDescent="0.2">
      <c r="A191" s="40">
        <f>'R10'!B22</f>
        <v>0</v>
      </c>
      <c r="B191" s="131">
        <f t="shared" si="37"/>
        <v>12</v>
      </c>
      <c r="C191" s="131">
        <f t="shared" si="36"/>
        <v>12</v>
      </c>
      <c r="D191" s="131">
        <f t="shared" si="36"/>
        <v>12</v>
      </c>
      <c r="E191" s="131">
        <f t="shared" si="36"/>
        <v>12</v>
      </c>
      <c r="F191" s="131">
        <f t="shared" si="36"/>
        <v>12</v>
      </c>
      <c r="G191" s="70">
        <f>'R10'!L22</f>
        <v>12</v>
      </c>
      <c r="H191" s="70">
        <f>IF('P10'!L17="No",('R10'!F22*B191/12*'R10'!$L22),('R10'!F22*'W10'!B191))</f>
        <v>0</v>
      </c>
      <c r="I191" s="70">
        <f>IF('P10'!$L17="No",('R10'!G22*C191/12*'R10'!$L22),('R10'!G22*'W10'!C191))</f>
        <v>0</v>
      </c>
      <c r="J191" s="70">
        <f>IF('P10'!$L17="No",('R10'!H22*D191/12*'R10'!$L22),('R10'!H22*'W10'!D191))</f>
        <v>0</v>
      </c>
      <c r="K191" s="70">
        <f>IF('P10'!$L17="No",('R10'!I22*E191/12*'R10'!$L22),('R10'!I22*'W10'!E191))</f>
        <v>0</v>
      </c>
      <c r="L191" s="70">
        <f>IF('P10'!$L17="No",('R10'!J22*F191/12*'R10'!$L22),('R10'!J22*'W10'!F191))</f>
        <v>0</v>
      </c>
    </row>
    <row r="192" spans="1:12" x14ac:dyDescent="0.2">
      <c r="A192" s="40">
        <f>'R10'!B23</f>
        <v>0</v>
      </c>
      <c r="B192" s="131">
        <f t="shared" si="37"/>
        <v>12</v>
      </c>
      <c r="C192" s="131">
        <f t="shared" si="36"/>
        <v>12</v>
      </c>
      <c r="D192" s="131">
        <f t="shared" si="36"/>
        <v>12</v>
      </c>
      <c r="E192" s="131">
        <f t="shared" si="36"/>
        <v>12</v>
      </c>
      <c r="F192" s="131">
        <f t="shared" si="36"/>
        <v>12</v>
      </c>
      <c r="G192" s="70">
        <f>'R10'!L23</f>
        <v>12</v>
      </c>
      <c r="H192" s="70">
        <f>IF('P10'!L18="No",('R10'!F23*B192/12*'R10'!$L23),('R10'!F23*'W10'!B192))</f>
        <v>0</v>
      </c>
      <c r="I192" s="70">
        <f>IF('P10'!$L18="No",('R10'!G23*C192/12*'R10'!$L23),('R10'!G23*'W10'!C192))</f>
        <v>0</v>
      </c>
      <c r="J192" s="70">
        <f>IF('P10'!$L18="No",('R10'!H23*D192/12*'R10'!$L23),('R10'!H23*'W10'!D192))</f>
        <v>0</v>
      </c>
      <c r="K192" s="70">
        <f>IF('P10'!$L18="No",('R10'!I23*E192/12*'R10'!$L23),('R10'!I23*'W10'!E192))</f>
        <v>0</v>
      </c>
      <c r="L192" s="70">
        <f>IF('P10'!$L18="No",('R10'!J23*F192/12*'R10'!$L23),('R10'!J23*'W10'!F192))</f>
        <v>0</v>
      </c>
    </row>
    <row r="193" spans="1:12" x14ac:dyDescent="0.2">
      <c r="A193" s="40">
        <f>'R10'!B24</f>
        <v>0</v>
      </c>
      <c r="B193" s="131">
        <f t="shared" si="37"/>
        <v>12</v>
      </c>
      <c r="C193" s="131">
        <f t="shared" si="36"/>
        <v>12</v>
      </c>
      <c r="D193" s="131">
        <f t="shared" si="36"/>
        <v>12</v>
      </c>
      <c r="E193" s="131">
        <f t="shared" si="36"/>
        <v>12</v>
      </c>
      <c r="F193" s="131">
        <f t="shared" si="36"/>
        <v>12</v>
      </c>
      <c r="G193" s="70">
        <f>'R10'!L24</f>
        <v>12</v>
      </c>
      <c r="H193" s="70">
        <f>IF('P10'!L19="No",('R10'!F24*B193/12*'R10'!$L24),('R10'!F24*'W10'!B193))</f>
        <v>0</v>
      </c>
      <c r="I193" s="70">
        <f>IF('P10'!$L19="No",('R10'!G24*C193/12*'R10'!$L24),('R10'!G24*'W10'!C193))</f>
        <v>0</v>
      </c>
      <c r="J193" s="70">
        <f>IF('P10'!$L19="No",('R10'!H24*D193/12*'R10'!$L24),('R10'!H24*'W10'!D193))</f>
        <v>0</v>
      </c>
      <c r="K193" s="70">
        <f>IF('P10'!$L19="No",('R10'!I24*E193/12*'R10'!$L24),('R10'!I24*'W10'!E193))</f>
        <v>0</v>
      </c>
      <c r="L193" s="70">
        <f>IF('P10'!$L19="No",('R10'!J24*F193/12*'R10'!$L24),('R10'!J24*'W10'!F193))</f>
        <v>0</v>
      </c>
    </row>
    <row r="194" spans="1:12" x14ac:dyDescent="0.2">
      <c r="A194" s="40">
        <f>'R10'!B25</f>
        <v>0</v>
      </c>
      <c r="B194" s="131">
        <f t="shared" si="37"/>
        <v>12</v>
      </c>
      <c r="C194" s="131">
        <f t="shared" si="37"/>
        <v>12</v>
      </c>
      <c r="D194" s="131">
        <f t="shared" si="37"/>
        <v>12</v>
      </c>
      <c r="E194" s="131">
        <f t="shared" si="37"/>
        <v>12</v>
      </c>
      <c r="F194" s="131">
        <f t="shared" si="37"/>
        <v>12</v>
      </c>
      <c r="G194" s="70">
        <f>'R10'!L25</f>
        <v>12</v>
      </c>
      <c r="H194" s="70">
        <f>IF('P10'!L20="No",('R10'!F25*B194/12*'R10'!$L25),('R10'!F25*'W10'!B194))</f>
        <v>0</v>
      </c>
      <c r="I194" s="70">
        <f>IF('P10'!$L20="No",('R10'!G25*C194/12*'R10'!$L25),('R10'!G25*'W10'!C194))</f>
        <v>0</v>
      </c>
      <c r="J194" s="70">
        <f>IF('P10'!$L20="No",('R10'!H25*D194/12*'R10'!$L25),('R10'!H25*'W10'!D194))</f>
        <v>0</v>
      </c>
      <c r="K194" s="70">
        <f>IF('P10'!$L20="No",('R10'!I25*E194/12*'R10'!$L25),('R10'!I25*'W10'!E194))</f>
        <v>0</v>
      </c>
      <c r="L194" s="70">
        <f>IF('P10'!$L20="No",('R10'!J25*F194/12*'R10'!$L25),('R10'!J25*'W10'!F194))</f>
        <v>0</v>
      </c>
    </row>
    <row r="195" spans="1:12" x14ac:dyDescent="0.2">
      <c r="A195" s="40">
        <f>'R10'!B26</f>
        <v>0</v>
      </c>
      <c r="B195" s="131">
        <f t="shared" ref="B195:F200" si="38">B194</f>
        <v>12</v>
      </c>
      <c r="C195" s="131">
        <f t="shared" si="38"/>
        <v>12</v>
      </c>
      <c r="D195" s="131">
        <f t="shared" si="38"/>
        <v>12</v>
      </c>
      <c r="E195" s="131">
        <f t="shared" si="38"/>
        <v>12</v>
      </c>
      <c r="F195" s="131">
        <f t="shared" si="38"/>
        <v>12</v>
      </c>
      <c r="G195" s="70">
        <f>'R10'!L26</f>
        <v>12</v>
      </c>
      <c r="H195" s="70">
        <f>IF('P10'!L21="No",('R10'!F26*B195/12*'R10'!$L26),('R10'!F26*'W10'!B195))</f>
        <v>0</v>
      </c>
      <c r="I195" s="70">
        <f>IF('P10'!$L21="No",('R10'!G26*C195/12*'R10'!$L26),('R10'!G26*'W10'!C195))</f>
        <v>0</v>
      </c>
      <c r="J195" s="70">
        <f>IF('P10'!$L21="No",('R10'!H26*D195/12*'R10'!$L26),('R10'!H26*'W10'!D195))</f>
        <v>0</v>
      </c>
      <c r="K195" s="70">
        <f>IF('P10'!$L21="No",('R10'!I26*E195/12*'R10'!$L26),('R10'!I26*'W10'!E195))</f>
        <v>0</v>
      </c>
      <c r="L195" s="70">
        <f>IF('P10'!$L21="No",('R10'!J26*F195/12*'R10'!$L26),('R10'!J26*'W10'!F195))</f>
        <v>0</v>
      </c>
    </row>
    <row r="196" spans="1:12" x14ac:dyDescent="0.2">
      <c r="A196" s="40">
        <f>'R10'!B27</f>
        <v>0</v>
      </c>
      <c r="B196" s="131">
        <f t="shared" si="38"/>
        <v>12</v>
      </c>
      <c r="C196" s="131">
        <f t="shared" si="38"/>
        <v>12</v>
      </c>
      <c r="D196" s="131">
        <f t="shared" si="38"/>
        <v>12</v>
      </c>
      <c r="E196" s="131">
        <f t="shared" si="38"/>
        <v>12</v>
      </c>
      <c r="F196" s="131">
        <f t="shared" si="38"/>
        <v>12</v>
      </c>
      <c r="G196" s="70">
        <f>'R10'!L27</f>
        <v>12</v>
      </c>
      <c r="H196" s="70">
        <f>IF('P10'!L22="No",('R10'!F27*B196/12*'R10'!$L27),('R10'!F27*'W10'!B196))</f>
        <v>0</v>
      </c>
      <c r="I196" s="70">
        <f>IF('P10'!$L22="No",('R10'!G27*C196/12*'R10'!$L27),('R10'!G27*'W10'!C196))</f>
        <v>0</v>
      </c>
      <c r="J196" s="70">
        <f>IF('P10'!$L22="No",('R10'!H27*D196/12*'R10'!$L27),('R10'!H27*'W10'!D196))</f>
        <v>0</v>
      </c>
      <c r="K196" s="70">
        <f>IF('P10'!$L22="No",('R10'!I27*E196/12*'R10'!$L27),('R10'!I27*'W10'!E196))</f>
        <v>0</v>
      </c>
      <c r="L196" s="70">
        <f>IF('P10'!$L22="No",('R10'!J27*F196/12*'R10'!$L27),('R10'!J27*'W10'!F196))</f>
        <v>0</v>
      </c>
    </row>
    <row r="197" spans="1:12" x14ac:dyDescent="0.2">
      <c r="A197" s="40">
        <f>'R10'!B28</f>
        <v>0</v>
      </c>
      <c r="B197" s="131">
        <f t="shared" si="38"/>
        <v>12</v>
      </c>
      <c r="C197" s="131">
        <f t="shared" si="38"/>
        <v>12</v>
      </c>
      <c r="D197" s="131">
        <f t="shared" si="38"/>
        <v>12</v>
      </c>
      <c r="E197" s="131">
        <f t="shared" si="38"/>
        <v>12</v>
      </c>
      <c r="F197" s="131">
        <f t="shared" si="38"/>
        <v>12</v>
      </c>
      <c r="G197" s="70">
        <f>'R10'!L28</f>
        <v>12</v>
      </c>
      <c r="H197" s="70">
        <f>IF('P10'!L23="No",('R10'!F28*B197/12*'R10'!$L28),('R10'!F28*'W10'!B197))</f>
        <v>0</v>
      </c>
      <c r="I197" s="70">
        <f>IF('P10'!$L23="No",('R10'!G28*C197/12*'R10'!$L28),('R10'!G28*'W10'!C197))</f>
        <v>0</v>
      </c>
      <c r="J197" s="70">
        <f>IF('P10'!$L23="No",('R10'!H28*D197/12*'R10'!$L28),('R10'!H28*'W10'!D197))</f>
        <v>0</v>
      </c>
      <c r="K197" s="70">
        <f>IF('P10'!$L23="No",('R10'!I28*E197/12*'R10'!$L28),('R10'!I28*'W10'!E197))</f>
        <v>0</v>
      </c>
      <c r="L197" s="70">
        <f>IF('P10'!$L23="No",('R10'!J28*F197/12*'R10'!$L28),('R10'!J28*'W10'!F197))</f>
        <v>0</v>
      </c>
    </row>
    <row r="198" spans="1:12" x14ac:dyDescent="0.2">
      <c r="A198" s="40">
        <f>'R10'!B29</f>
        <v>0</v>
      </c>
      <c r="B198" s="131">
        <f t="shared" si="38"/>
        <v>12</v>
      </c>
      <c r="C198" s="131">
        <f t="shared" si="38"/>
        <v>12</v>
      </c>
      <c r="D198" s="131">
        <f t="shared" si="38"/>
        <v>12</v>
      </c>
      <c r="E198" s="131">
        <f t="shared" si="38"/>
        <v>12</v>
      </c>
      <c r="F198" s="131">
        <f t="shared" si="38"/>
        <v>12</v>
      </c>
      <c r="G198" s="70">
        <f>'R10'!L29</f>
        <v>12</v>
      </c>
      <c r="H198" s="70">
        <f>IF('P10'!L24="No",('R10'!F29*B198/12*'R10'!$L29),('R10'!F29*'W10'!B198))</f>
        <v>0</v>
      </c>
      <c r="I198" s="70">
        <f>IF('P10'!$L24="No",('R10'!G29*C198/12*'R10'!$L29),('R10'!G29*'W10'!C198))</f>
        <v>0</v>
      </c>
      <c r="J198" s="70">
        <f>IF('P10'!$L24="No",('R10'!H29*D198/12*'R10'!$L29),('R10'!H29*'W10'!D198))</f>
        <v>0</v>
      </c>
      <c r="K198" s="70">
        <f>IF('P10'!$L24="No",('R10'!I29*E198/12*'R10'!$L29),('R10'!I29*'W10'!E198))</f>
        <v>0</v>
      </c>
      <c r="L198" s="70">
        <f>IF('P10'!$L24="No",('R10'!J29*F198/12*'R10'!$L29),('R10'!J29*'W10'!F198))</f>
        <v>0</v>
      </c>
    </row>
    <row r="199" spans="1:12" x14ac:dyDescent="0.2">
      <c r="A199" s="40">
        <f>'R10'!B30</f>
        <v>0</v>
      </c>
      <c r="B199" s="131">
        <f t="shared" si="38"/>
        <v>12</v>
      </c>
      <c r="C199" s="131">
        <f t="shared" si="38"/>
        <v>12</v>
      </c>
      <c r="D199" s="131">
        <f t="shared" si="38"/>
        <v>12</v>
      </c>
      <c r="E199" s="131">
        <f t="shared" si="38"/>
        <v>12</v>
      </c>
      <c r="F199" s="131">
        <f t="shared" si="38"/>
        <v>12</v>
      </c>
      <c r="G199" s="70">
        <f>'R10'!L30</f>
        <v>12</v>
      </c>
      <c r="H199" s="70">
        <f>IF('P10'!L25="No",('R10'!F30*B199/12*'R10'!$L30),('R10'!F30*'W10'!B199))</f>
        <v>0</v>
      </c>
      <c r="I199" s="70">
        <f>IF('P10'!$L25="No",('R10'!G30*C199/12*'R10'!$L30),('R10'!G30*'W10'!C199))</f>
        <v>0</v>
      </c>
      <c r="J199" s="70">
        <f>IF('P10'!$L25="No",('R10'!H30*D199/12*'R10'!$L30),('R10'!H30*'W10'!D199))</f>
        <v>0</v>
      </c>
      <c r="K199" s="70">
        <f>IF('P10'!$L25="No",('R10'!I30*E199/12*'R10'!$L30),('R10'!I30*'W10'!E199))</f>
        <v>0</v>
      </c>
      <c r="L199" s="70">
        <f>IF('P10'!$L25="No",('R10'!J30*F199/12*'R10'!$L30),('R10'!J30*'W10'!F199))</f>
        <v>0</v>
      </c>
    </row>
    <row r="200" spans="1:12" x14ac:dyDescent="0.2">
      <c r="A200" s="40">
        <f>'R10'!B31</f>
        <v>0</v>
      </c>
      <c r="B200" s="131">
        <f t="shared" si="38"/>
        <v>12</v>
      </c>
      <c r="C200" s="131">
        <f t="shared" si="38"/>
        <v>12</v>
      </c>
      <c r="D200" s="131">
        <f t="shared" si="38"/>
        <v>12</v>
      </c>
      <c r="E200" s="131">
        <f t="shared" si="38"/>
        <v>12</v>
      </c>
      <c r="F200" s="131">
        <f t="shared" si="38"/>
        <v>12</v>
      </c>
      <c r="G200" s="70">
        <f>'R10'!L31</f>
        <v>12</v>
      </c>
      <c r="H200" s="70">
        <f>IF('P10'!L26="No",('R10'!F31*B200/12*'R10'!$L31),('R10'!F31*'W10'!B200))</f>
        <v>0</v>
      </c>
      <c r="I200" s="70">
        <f>IF('P10'!$L26="No",('R10'!G31*C200/12*'R10'!$L31),('R10'!G31*'W10'!C200))</f>
        <v>0</v>
      </c>
      <c r="J200" s="70">
        <f>IF('P10'!$L26="No",('R10'!H31*D200/12*'R10'!$L31),('R10'!H31*'W10'!D200))</f>
        <v>0</v>
      </c>
      <c r="K200" s="70">
        <f>IF('P10'!$L26="No",('R10'!I31*E200/12*'R10'!$L31),('R10'!I31*'W10'!E200))</f>
        <v>0</v>
      </c>
      <c r="L200" s="70">
        <f>IF('P10'!$L26="No",('R10'!J31*F200/12*'R10'!$L31),('R10'!J31*'W10'!F200))</f>
        <v>0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>
        <f>C13</f>
        <v>0.5</v>
      </c>
      <c r="F204" s="112">
        <f t="shared" ref="F204:H205" si="39">D13</f>
        <v>0.5</v>
      </c>
      <c r="G204" s="112">
        <f t="shared" si="39"/>
        <v>0.5</v>
      </c>
      <c r="H204" s="112">
        <f t="shared" si="39"/>
        <v>0.5</v>
      </c>
      <c r="I204" s="112">
        <f>G13</f>
        <v>0.5</v>
      </c>
    </row>
    <row r="205" spans="1:12" x14ac:dyDescent="0.2">
      <c r="A205" s="318"/>
      <c r="B205" s="315" t="s">
        <v>146</v>
      </c>
      <c r="C205" s="315"/>
      <c r="D205" s="316"/>
      <c r="E205" s="112">
        <f>C14</f>
        <v>2.5</v>
      </c>
      <c r="F205" s="112">
        <f t="shared" si="39"/>
        <v>2.5</v>
      </c>
      <c r="G205" s="112">
        <f t="shared" si="39"/>
        <v>2.5</v>
      </c>
      <c r="H205" s="112">
        <f t="shared" si="39"/>
        <v>2.5</v>
      </c>
      <c r="I205" s="112">
        <f>G14</f>
        <v>2.5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>
        <f>IF(AND(MONTH(C2)=9,DAY(C2)&lt;=5),0.5,IF(AND(MONTH(C2)=7,DAY(C2)&lt;=5),2.5,IF(AND(MONTH(C2)=7,DAY(C2)&gt;5),2,IF(AND(MONTH(C2)=8,DAY(C2)&lt;=5),1.5,IF(AND(MONTH(C2)=8,DAY(C2)&gt;5),1,0)))))</f>
        <v>0</v>
      </c>
      <c r="F206" s="4">
        <f t="shared" ref="F206:H206" si="40">IF(AND(MONTH(D2)=9,DAY(D2)&lt;=5),0.5,IF(AND(MONTH(D2)=7,DAY(D2)&lt;=5),2.5,IF(AND(MONTH(D2)=7,DAY(D2)&gt;5),2,IF(AND(MONTH(D2)=8,DAY(D2)&lt;=5),1.5,IF(AND(MONTH(D2)=8,DAY(D2)&gt;5),1,0)))))</f>
        <v>0</v>
      </c>
      <c r="G206" s="4">
        <f t="shared" si="40"/>
        <v>0</v>
      </c>
      <c r="H206" s="4">
        <f t="shared" si="40"/>
        <v>0</v>
      </c>
      <c r="I206" s="4">
        <f>IF(AND(MONTH(G2)=9,DAY(G2)&lt;=5),0.5,IF(AND(MONTH(G2)=7,DAY(G2)&lt;=5),2.5,IF(AND(MONTH(G2)=7,DAY(G2)&gt;5),2,IF(AND(MONTH(G2)=8,DAY(G2)&lt;=5),1.5,IF(AND(MONTH(G2)=8,DAY(G2)&gt;5),1,0)))))</f>
        <v>0</v>
      </c>
    </row>
    <row r="207" spans="1:12" x14ac:dyDescent="0.2">
      <c r="A207" s="318"/>
      <c r="B207" s="315" t="s">
        <v>146</v>
      </c>
      <c r="C207" s="315"/>
      <c r="D207" s="316"/>
      <c r="E207" s="4">
        <f>2.5-E206</f>
        <v>2.5</v>
      </c>
      <c r="F207" s="4">
        <f>IF(D4="",0,2.5-F206)</f>
        <v>2.5</v>
      </c>
      <c r="G207" s="4">
        <f t="shared" ref="G207:I207" si="41">IF(E4="",0,2.5-G206)</f>
        <v>2.5</v>
      </c>
      <c r="H207" s="4">
        <f t="shared" si="41"/>
        <v>2.5</v>
      </c>
      <c r="I207" s="4">
        <f t="shared" si="41"/>
        <v>2.5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>
        <f>IF(AND(MONTH(C2)=7,DAY(C2)&lt;=5),2,IF(AND(MONTH(C2)=7,DAY(C2)&gt;5),1.5,IF(AND(MONTH(C2)=8,DAY(C2)&lt;=5),1,IF(AND(MONTH(C2)=8,DAY(C2)&gt;5),0.5,0))))</f>
        <v>0</v>
      </c>
      <c r="F208" s="4">
        <f t="shared" ref="F208:I208" si="42">IF(AND(MONTH(D2)=7,DAY(D2)&lt;=5),2,IF(AND(MONTH(D2)=7,DAY(D2)&gt;5),1.5,IF(AND(MONTH(D2)=8,DAY(D2)&lt;=5),1,IF(AND(MONTH(D2)=8,DAY(D2)&gt;5),0.5,0))))</f>
        <v>0</v>
      </c>
      <c r="G208" s="4">
        <f t="shared" si="42"/>
        <v>0</v>
      </c>
      <c r="H208" s="4">
        <f t="shared" si="42"/>
        <v>0</v>
      </c>
      <c r="I208" s="4">
        <f t="shared" si="42"/>
        <v>0</v>
      </c>
    </row>
    <row r="209" spans="1:12" x14ac:dyDescent="0.2">
      <c r="A209" s="318"/>
      <c r="B209" s="315" t="s">
        <v>146</v>
      </c>
      <c r="C209" s="315"/>
      <c r="D209" s="316"/>
      <c r="E209" s="4">
        <f>2-E208</f>
        <v>2</v>
      </c>
      <c r="F209" s="4">
        <f>IF(D4="",0,2-F208)</f>
        <v>2</v>
      </c>
      <c r="G209" s="4">
        <f t="shared" ref="G209:I209" si="43">IF(E4="",0,2-G208)</f>
        <v>2</v>
      </c>
      <c r="H209" s="4">
        <f t="shared" si="43"/>
        <v>2</v>
      </c>
      <c r="I209" s="4">
        <f t="shared" si="43"/>
        <v>2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>
        <f>IF(E206&gt;C9,C9,E206)</f>
        <v>0</v>
      </c>
      <c r="F210" s="114">
        <f>IF(F206&gt;D9,D9,F206)</f>
        <v>0</v>
      </c>
      <c r="G210" s="114">
        <f t="shared" ref="G210:I210" si="44">IF(G206&gt;E9,E9,G206)</f>
        <v>0</v>
      </c>
      <c r="H210" s="114">
        <f t="shared" si="44"/>
        <v>0</v>
      </c>
      <c r="I210" s="114">
        <f t="shared" si="44"/>
        <v>0</v>
      </c>
    </row>
    <row r="211" spans="1:12" x14ac:dyDescent="0.2">
      <c r="A211" s="318"/>
      <c r="B211" s="315" t="s">
        <v>148</v>
      </c>
      <c r="C211" s="315"/>
      <c r="D211" s="316"/>
      <c r="E211" s="114">
        <f>IF(E207&gt;C10,C10,E207)</f>
        <v>2.5</v>
      </c>
      <c r="F211" s="114">
        <f t="shared" ref="F211:I211" si="45">IF(F207&gt;D10,D10,F207)</f>
        <v>2.5</v>
      </c>
      <c r="G211" s="114">
        <f t="shared" si="45"/>
        <v>2.5</v>
      </c>
      <c r="H211" s="114">
        <f t="shared" si="45"/>
        <v>2.5</v>
      </c>
      <c r="I211" s="114">
        <f t="shared" si="45"/>
        <v>2.5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>
        <f>IF(E208&gt;C9,C9,E208)</f>
        <v>0</v>
      </c>
      <c r="F212" s="114">
        <f t="shared" ref="F212:I213" si="46">IF(F208&gt;D9,D9,F208)</f>
        <v>0</v>
      </c>
      <c r="G212" s="114">
        <f t="shared" si="46"/>
        <v>0</v>
      </c>
      <c r="H212" s="114">
        <f t="shared" si="46"/>
        <v>0</v>
      </c>
      <c r="I212" s="114">
        <f t="shared" si="46"/>
        <v>0</v>
      </c>
    </row>
    <row r="213" spans="1:12" x14ac:dyDescent="0.2">
      <c r="A213" s="318"/>
      <c r="B213" s="315" t="s">
        <v>148</v>
      </c>
      <c r="C213" s="315"/>
      <c r="D213" s="316"/>
      <c r="E213" s="114">
        <f>IF(E209&gt;C10,C10,E209)</f>
        <v>2</v>
      </c>
      <c r="F213" s="114">
        <f t="shared" si="46"/>
        <v>2</v>
      </c>
      <c r="G213" s="114">
        <f t="shared" si="46"/>
        <v>2</v>
      </c>
      <c r="H213" s="114">
        <f>IF(H209&gt;F10,F10,H209)</f>
        <v>2</v>
      </c>
      <c r="I213" s="114">
        <f t="shared" si="46"/>
        <v>2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>
        <f t="shared" ref="A218:A241" si="47">A177</f>
        <v>0</v>
      </c>
      <c r="B218" s="4">
        <f>IF(L218="A",IF(H177&lt;$E$204,H177,$E$204),IF(L218="B",IF(H177&lt;$E$210,H177,$E$210),IF(L218="C",IF(H177&lt;$E$212,H177,$E$212),IF(L218="D",0))))</f>
        <v>0</v>
      </c>
      <c r="C218" s="70">
        <f t="shared" ref="C218:C241" si="48">H177-B218</f>
        <v>0</v>
      </c>
      <c r="D218" s="4">
        <f>IF(L218="A",IF(I177&lt;$F$204,I177,$F$204),IF(L218="B",IF(I177&lt;$F$210,I177,$F$210),IF(L218="C",IF(I177&lt;$F$212,I177,$F$212),IF(L218="D",0))))</f>
        <v>0</v>
      </c>
      <c r="E218" s="70">
        <f t="shared" ref="E218:E241" si="49">I177-D218</f>
        <v>0</v>
      </c>
      <c r="F218" s="4">
        <f>IF(L218="A",IF(J177&lt;$G$204,J177,$G$204),IF(L218="B",IF(J177&lt;$G$210,J177,$G$210),IF(L218="C",IF(J177&lt;$G$212,J177,$G$212),IF(L218="D",0))))</f>
        <v>0</v>
      </c>
      <c r="G218" s="70">
        <f t="shared" ref="G218:G241" si="50">J177-F218</f>
        <v>0</v>
      </c>
      <c r="H218" s="4">
        <f>IF(L218="A",IF(K177&lt;$H$204,K177,$H$204),IF(L218="B",IF(K177&lt;$H$210,K177,$H$210),IF(L218="C",IF(K177&lt;$H$212,K177,$H$212),IF(L218="D",0))))</f>
        <v>0</v>
      </c>
      <c r="I218" s="70">
        <f t="shared" ref="I218:I241" si="51">K177-H218</f>
        <v>0</v>
      </c>
      <c r="J218" s="4">
        <f>IF(L218="A",IF(L177&lt;$I$204,L177,$I$204),IF(L218="B",IF(L177&lt;$I$210,L177,$I$210),IF(L218="C",IF(L177&lt;$I$212,L177,$I$212),IF(L218="D",0))))</f>
        <v>0</v>
      </c>
      <c r="K218" s="70">
        <f t="shared" ref="K218:K241" si="52">L177-J218</f>
        <v>0</v>
      </c>
      <c r="L218" s="1" t="str">
        <f>IF('R10'!D36="F-SMRA","A",IF('R10'!D36="F-SMRB","B",IF('R10'!D36="F-SMRC","C","D")))</f>
        <v>D</v>
      </c>
    </row>
    <row r="219" spans="1:12" x14ac:dyDescent="0.2">
      <c r="A219" s="257">
        <f t="shared" si="47"/>
        <v>0</v>
      </c>
      <c r="B219" s="4">
        <f t="shared" ref="B219:B241" si="53">IF(L219="A",IF(H178&lt;$E$204,H178,$E$204),IF(L219="B",IF(H178&lt;$E$210,H178,$E$210),IF(L219="C",IF(H178&lt;$E$212,H178,$E$212),IF(L219="D",0))))</f>
        <v>0</v>
      </c>
      <c r="C219" s="70">
        <f t="shared" si="48"/>
        <v>0</v>
      </c>
      <c r="D219" s="4">
        <f t="shared" ref="D219:D241" si="54">IF(L219="A",IF(I178&lt;$F$204,I178,$F$204),IF(L219="B",IF(I178&lt;$F$210,I178,$F$210),IF(L219="C",IF(I178&lt;$F$212,I178,$F$212),IF(L219="D",0))))</f>
        <v>0</v>
      </c>
      <c r="E219" s="70">
        <f t="shared" si="49"/>
        <v>0</v>
      </c>
      <c r="F219" s="4">
        <f t="shared" ref="F219:F241" si="55">IF(L219="A",IF(J178&lt;$G$204,J178,$G$204),IF(L219="B",IF(J178&lt;$G$210,J178,$G$210),IF(L219="C",IF(J178&lt;$G$212,J178,$G$212),IF(L219="D",0))))</f>
        <v>0</v>
      </c>
      <c r="G219" s="70">
        <f t="shared" si="50"/>
        <v>0</v>
      </c>
      <c r="H219" s="4">
        <f t="shared" ref="H219:H241" si="56">IF(L219="A",IF(K178&lt;$H$204,K178,$H$204),IF(L219="B",IF(K178&lt;$H$210,K178,$H$210),IF(L219="C",IF(K178&lt;$H$212,K178,$H$212),IF(L219="D",0))))</f>
        <v>0</v>
      </c>
      <c r="I219" s="70">
        <f t="shared" si="51"/>
        <v>0</v>
      </c>
      <c r="J219" s="4">
        <f t="shared" ref="J219:J241" si="57">IF(L219="A",IF(L178&lt;$I$204,L178,$I$204),IF(L219="B",IF(L178&lt;$I$210,L178,$I$210),IF(L219="C",IF(L178&lt;$I$212,L178,$I$212),IF(L219="D",0))))</f>
        <v>0</v>
      </c>
      <c r="K219" s="70">
        <f t="shared" si="52"/>
        <v>0</v>
      </c>
      <c r="L219" s="1" t="str">
        <f>IF('R10'!D37="F-SMRA","A",IF('R10'!D37="F-SMRB","B",IF('R10'!D37="F-SMRC","C","D")))</f>
        <v>D</v>
      </c>
    </row>
    <row r="220" spans="1:12" x14ac:dyDescent="0.2">
      <c r="A220" s="257">
        <f t="shared" si="47"/>
        <v>0</v>
      </c>
      <c r="B220" s="4">
        <f t="shared" si="53"/>
        <v>0</v>
      </c>
      <c r="C220" s="70">
        <f t="shared" si="48"/>
        <v>0</v>
      </c>
      <c r="D220" s="4">
        <f t="shared" si="54"/>
        <v>0</v>
      </c>
      <c r="E220" s="70">
        <f t="shared" si="49"/>
        <v>0</v>
      </c>
      <c r="F220" s="4">
        <f t="shared" si="55"/>
        <v>0</v>
      </c>
      <c r="G220" s="70">
        <f t="shared" si="50"/>
        <v>0</v>
      </c>
      <c r="H220" s="4">
        <f t="shared" si="56"/>
        <v>0</v>
      </c>
      <c r="I220" s="70">
        <f t="shared" si="51"/>
        <v>0</v>
      </c>
      <c r="J220" s="4">
        <f t="shared" si="57"/>
        <v>0</v>
      </c>
      <c r="K220" s="70">
        <f t="shared" si="52"/>
        <v>0</v>
      </c>
      <c r="L220" s="1" t="str">
        <f>IF('R10'!D38="F-SMRA","A",IF('R10'!D38="F-SMRB","B",IF('R10'!D38="F-SMRC","C","D")))</f>
        <v>D</v>
      </c>
    </row>
    <row r="221" spans="1:12" x14ac:dyDescent="0.2">
      <c r="A221" s="257">
        <f t="shared" si="47"/>
        <v>0</v>
      </c>
      <c r="B221" s="4">
        <f t="shared" si="53"/>
        <v>0</v>
      </c>
      <c r="C221" s="70">
        <f t="shared" si="48"/>
        <v>0</v>
      </c>
      <c r="D221" s="4">
        <f t="shared" si="54"/>
        <v>0</v>
      </c>
      <c r="E221" s="70">
        <f t="shared" si="49"/>
        <v>0</v>
      </c>
      <c r="F221" s="4">
        <f t="shared" si="55"/>
        <v>0</v>
      </c>
      <c r="G221" s="70">
        <f t="shared" si="50"/>
        <v>0</v>
      </c>
      <c r="H221" s="4">
        <f t="shared" si="56"/>
        <v>0</v>
      </c>
      <c r="I221" s="70">
        <f t="shared" si="51"/>
        <v>0</v>
      </c>
      <c r="J221" s="4">
        <f t="shared" si="57"/>
        <v>0</v>
      </c>
      <c r="K221" s="70">
        <f t="shared" si="52"/>
        <v>0</v>
      </c>
      <c r="L221" s="1" t="str">
        <f>IF('R10'!D39="F-SMRA","A",IF('R10'!D39="F-SMRB","B",IF('R10'!D39="F-SMRC","C","D")))</f>
        <v>D</v>
      </c>
    </row>
    <row r="222" spans="1:12" x14ac:dyDescent="0.2">
      <c r="A222" s="257">
        <f t="shared" si="47"/>
        <v>0</v>
      </c>
      <c r="B222" s="4">
        <f t="shared" si="53"/>
        <v>0</v>
      </c>
      <c r="C222" s="70">
        <f t="shared" si="48"/>
        <v>0</v>
      </c>
      <c r="D222" s="4">
        <f t="shared" si="54"/>
        <v>0</v>
      </c>
      <c r="E222" s="70">
        <f t="shared" si="49"/>
        <v>0</v>
      </c>
      <c r="F222" s="4">
        <f t="shared" si="55"/>
        <v>0</v>
      </c>
      <c r="G222" s="70">
        <f t="shared" si="50"/>
        <v>0</v>
      </c>
      <c r="H222" s="4">
        <f t="shared" si="56"/>
        <v>0</v>
      </c>
      <c r="I222" s="70">
        <f t="shared" si="51"/>
        <v>0</v>
      </c>
      <c r="J222" s="4">
        <f t="shared" si="57"/>
        <v>0</v>
      </c>
      <c r="K222" s="70">
        <f t="shared" si="52"/>
        <v>0</v>
      </c>
      <c r="L222" s="1" t="str">
        <f>IF('R10'!D40="F-SMRA","A",IF('R10'!D40="F-SMRB","B",IF('R10'!D40="F-SMRC","C","D")))</f>
        <v>D</v>
      </c>
    </row>
    <row r="223" spans="1:12" x14ac:dyDescent="0.2">
      <c r="A223" s="257">
        <f t="shared" si="47"/>
        <v>0</v>
      </c>
      <c r="B223" s="4">
        <f t="shared" si="53"/>
        <v>0</v>
      </c>
      <c r="C223" s="70">
        <f t="shared" si="48"/>
        <v>0</v>
      </c>
      <c r="D223" s="4">
        <f t="shared" si="54"/>
        <v>0</v>
      </c>
      <c r="E223" s="70">
        <f t="shared" si="49"/>
        <v>0</v>
      </c>
      <c r="F223" s="4">
        <f t="shared" si="55"/>
        <v>0</v>
      </c>
      <c r="G223" s="70">
        <f t="shared" si="50"/>
        <v>0</v>
      </c>
      <c r="H223" s="4">
        <f t="shared" si="56"/>
        <v>0</v>
      </c>
      <c r="I223" s="70">
        <f t="shared" si="51"/>
        <v>0</v>
      </c>
      <c r="J223" s="4">
        <f>IF(L223="A",IF(L182&lt;$I$204,L182,$I$204),IF(L223="B",IF(L182&lt;$I$210,L182,$I$210),IF(L223="C",IF(L182&lt;$I$212,L182,$I$212),IF(L223="D",0))))</f>
        <v>0</v>
      </c>
      <c r="K223" s="70">
        <f t="shared" si="52"/>
        <v>0</v>
      </c>
      <c r="L223" s="1" t="str">
        <f>IF('R10'!D41="F-SMRA","A",IF('R10'!D41="F-SMRB","B",IF('R10'!D41="F-SMRC","C","D")))</f>
        <v>D</v>
      </c>
    </row>
    <row r="224" spans="1:12" x14ac:dyDescent="0.2">
      <c r="A224" s="257">
        <f t="shared" si="47"/>
        <v>0</v>
      </c>
      <c r="B224" s="4">
        <f t="shared" si="53"/>
        <v>0</v>
      </c>
      <c r="C224" s="70">
        <f t="shared" si="48"/>
        <v>0</v>
      </c>
      <c r="D224" s="4">
        <f t="shared" si="54"/>
        <v>0</v>
      </c>
      <c r="E224" s="70">
        <f t="shared" si="49"/>
        <v>0</v>
      </c>
      <c r="F224" s="4">
        <f t="shared" si="55"/>
        <v>0</v>
      </c>
      <c r="G224" s="70">
        <f t="shared" si="50"/>
        <v>0</v>
      </c>
      <c r="H224" s="4">
        <f t="shared" si="56"/>
        <v>0</v>
      </c>
      <c r="I224" s="70">
        <f t="shared" si="51"/>
        <v>0</v>
      </c>
      <c r="J224" s="4">
        <f t="shared" si="57"/>
        <v>0</v>
      </c>
      <c r="K224" s="70">
        <f t="shared" si="52"/>
        <v>0</v>
      </c>
      <c r="L224" s="1" t="str">
        <f>IF('R10'!D42="F-SMRA","A",IF('R10'!D42="F-SMRB","B",IF('R10'!D42="F-SMRC","C","D")))</f>
        <v>D</v>
      </c>
    </row>
    <row r="225" spans="1:12" x14ac:dyDescent="0.2">
      <c r="A225" s="257">
        <f t="shared" si="47"/>
        <v>0</v>
      </c>
      <c r="B225" s="4">
        <f t="shared" si="53"/>
        <v>0</v>
      </c>
      <c r="C225" s="70">
        <f t="shared" si="48"/>
        <v>0</v>
      </c>
      <c r="D225" s="4">
        <f t="shared" si="54"/>
        <v>0</v>
      </c>
      <c r="E225" s="70">
        <f t="shared" si="49"/>
        <v>0</v>
      </c>
      <c r="F225" s="4">
        <f t="shared" si="55"/>
        <v>0</v>
      </c>
      <c r="G225" s="70">
        <f t="shared" si="50"/>
        <v>0</v>
      </c>
      <c r="H225" s="4">
        <f t="shared" si="56"/>
        <v>0</v>
      </c>
      <c r="I225" s="70">
        <f t="shared" si="51"/>
        <v>0</v>
      </c>
      <c r="J225" s="4">
        <f t="shared" si="57"/>
        <v>0</v>
      </c>
      <c r="K225" s="70">
        <f t="shared" si="52"/>
        <v>0</v>
      </c>
      <c r="L225" s="1" t="str">
        <f>IF('R10'!D43="F-SMRA","A",IF('R10'!D43="F-SMRB","B",IF('R10'!D43="F-SMRC","C","D")))</f>
        <v>D</v>
      </c>
    </row>
    <row r="226" spans="1:12" x14ac:dyDescent="0.2">
      <c r="A226" s="257">
        <f t="shared" si="47"/>
        <v>0</v>
      </c>
      <c r="B226" s="4">
        <f t="shared" si="53"/>
        <v>0</v>
      </c>
      <c r="C226" s="70">
        <f t="shared" si="48"/>
        <v>0</v>
      </c>
      <c r="D226" s="4">
        <f t="shared" si="54"/>
        <v>0</v>
      </c>
      <c r="E226" s="70">
        <f t="shared" si="49"/>
        <v>0</v>
      </c>
      <c r="F226" s="4">
        <f t="shared" si="55"/>
        <v>0</v>
      </c>
      <c r="G226" s="70">
        <f t="shared" si="50"/>
        <v>0</v>
      </c>
      <c r="H226" s="4">
        <f t="shared" si="56"/>
        <v>0</v>
      </c>
      <c r="I226" s="70">
        <f t="shared" si="51"/>
        <v>0</v>
      </c>
      <c r="J226" s="4">
        <f t="shared" si="57"/>
        <v>0</v>
      </c>
      <c r="K226" s="70">
        <f t="shared" si="52"/>
        <v>0</v>
      </c>
      <c r="L226" s="1" t="str">
        <f>IF('R10'!D44="F-SMRA","A",IF('R10'!D44="F-SMRB","B",IF('R10'!D44="F-SMRC","C","D")))</f>
        <v>D</v>
      </c>
    </row>
    <row r="227" spans="1:12" x14ac:dyDescent="0.2">
      <c r="A227" s="257">
        <f t="shared" si="47"/>
        <v>0</v>
      </c>
      <c r="B227" s="4">
        <f t="shared" si="53"/>
        <v>0</v>
      </c>
      <c r="C227" s="70">
        <f t="shared" si="48"/>
        <v>0</v>
      </c>
      <c r="D227" s="4">
        <f t="shared" si="54"/>
        <v>0</v>
      </c>
      <c r="E227" s="70">
        <f t="shared" si="49"/>
        <v>0</v>
      </c>
      <c r="F227" s="4">
        <f t="shared" si="55"/>
        <v>0</v>
      </c>
      <c r="G227" s="70">
        <f t="shared" si="50"/>
        <v>0</v>
      </c>
      <c r="H227" s="4">
        <f t="shared" si="56"/>
        <v>0</v>
      </c>
      <c r="I227" s="70">
        <f t="shared" si="51"/>
        <v>0</v>
      </c>
      <c r="J227" s="4">
        <f t="shared" si="57"/>
        <v>0</v>
      </c>
      <c r="K227" s="70">
        <f t="shared" si="52"/>
        <v>0</v>
      </c>
      <c r="L227" s="1" t="str">
        <f>IF('R10'!D45="F-SMRA","A",IF('R10'!D45="F-SMRB","B",IF('R10'!D45="F-SMRC","C","D")))</f>
        <v>D</v>
      </c>
    </row>
    <row r="228" spans="1:12" x14ac:dyDescent="0.2">
      <c r="A228" s="257">
        <f t="shared" si="47"/>
        <v>0</v>
      </c>
      <c r="B228" s="4">
        <f t="shared" si="53"/>
        <v>0</v>
      </c>
      <c r="C228" s="70">
        <f t="shared" si="48"/>
        <v>0</v>
      </c>
      <c r="D228" s="4">
        <f t="shared" si="54"/>
        <v>0</v>
      </c>
      <c r="E228" s="70">
        <f t="shared" si="49"/>
        <v>0</v>
      </c>
      <c r="F228" s="4">
        <f t="shared" si="55"/>
        <v>0</v>
      </c>
      <c r="G228" s="70">
        <f t="shared" si="50"/>
        <v>0</v>
      </c>
      <c r="H228" s="4">
        <f t="shared" si="56"/>
        <v>0</v>
      </c>
      <c r="I228" s="70">
        <f t="shared" si="51"/>
        <v>0</v>
      </c>
      <c r="J228" s="4">
        <f t="shared" si="57"/>
        <v>0</v>
      </c>
      <c r="K228" s="70">
        <f t="shared" si="52"/>
        <v>0</v>
      </c>
      <c r="L228" s="1" t="str">
        <f>IF('R10'!D46="F-SMRA","A",IF('R10'!D46="F-SMRB","B",IF('R10'!D46="F-SMRC","C","D")))</f>
        <v>D</v>
      </c>
    </row>
    <row r="229" spans="1:12" x14ac:dyDescent="0.2">
      <c r="A229" s="257">
        <f t="shared" si="47"/>
        <v>0</v>
      </c>
      <c r="B229" s="4">
        <f t="shared" si="53"/>
        <v>0</v>
      </c>
      <c r="C229" s="70">
        <f t="shared" si="48"/>
        <v>0</v>
      </c>
      <c r="D229" s="4">
        <f t="shared" si="54"/>
        <v>0</v>
      </c>
      <c r="E229" s="70">
        <f t="shared" si="49"/>
        <v>0</v>
      </c>
      <c r="F229" s="4">
        <f t="shared" si="55"/>
        <v>0</v>
      </c>
      <c r="G229" s="70">
        <f t="shared" si="50"/>
        <v>0</v>
      </c>
      <c r="H229" s="4">
        <f t="shared" si="56"/>
        <v>0</v>
      </c>
      <c r="I229" s="70">
        <f t="shared" si="51"/>
        <v>0</v>
      </c>
      <c r="J229" s="4">
        <f t="shared" si="57"/>
        <v>0</v>
      </c>
      <c r="K229" s="70">
        <f t="shared" si="52"/>
        <v>0</v>
      </c>
      <c r="L229" s="1" t="str">
        <f>IF('R10'!D47="F-SMRA","A",IF('R10'!D47="F-SMRB","B",IF('R10'!D47="F-SMRC","C","D")))</f>
        <v>D</v>
      </c>
    </row>
    <row r="230" spans="1:12" x14ac:dyDescent="0.2">
      <c r="A230" s="257">
        <f t="shared" si="47"/>
        <v>0</v>
      </c>
      <c r="B230" s="4">
        <f t="shared" si="53"/>
        <v>0</v>
      </c>
      <c r="C230" s="70">
        <f t="shared" si="48"/>
        <v>0</v>
      </c>
      <c r="D230" s="4">
        <f t="shared" si="54"/>
        <v>0</v>
      </c>
      <c r="E230" s="70">
        <f t="shared" si="49"/>
        <v>0</v>
      </c>
      <c r="F230" s="4">
        <f t="shared" si="55"/>
        <v>0</v>
      </c>
      <c r="G230" s="70">
        <f t="shared" si="50"/>
        <v>0</v>
      </c>
      <c r="H230" s="4">
        <f t="shared" si="56"/>
        <v>0</v>
      </c>
      <c r="I230" s="70">
        <f t="shared" si="51"/>
        <v>0</v>
      </c>
      <c r="J230" s="4">
        <f t="shared" si="57"/>
        <v>0</v>
      </c>
      <c r="K230" s="70">
        <f t="shared" si="52"/>
        <v>0</v>
      </c>
      <c r="L230" s="1" t="str">
        <f>IF('R10'!D48="F-SMRA","A",IF('R10'!D48="F-SMRB","B",IF('R10'!D48="F-SMRC","C","D")))</f>
        <v>D</v>
      </c>
    </row>
    <row r="231" spans="1:12" x14ac:dyDescent="0.2">
      <c r="A231" s="257">
        <f t="shared" si="47"/>
        <v>0</v>
      </c>
      <c r="B231" s="4">
        <f t="shared" si="53"/>
        <v>0</v>
      </c>
      <c r="C231" s="70">
        <f t="shared" si="48"/>
        <v>0</v>
      </c>
      <c r="D231" s="4">
        <f t="shared" si="54"/>
        <v>0</v>
      </c>
      <c r="E231" s="70">
        <f t="shared" si="49"/>
        <v>0</v>
      </c>
      <c r="F231" s="4">
        <f t="shared" si="55"/>
        <v>0</v>
      </c>
      <c r="G231" s="70">
        <f t="shared" si="50"/>
        <v>0</v>
      </c>
      <c r="H231" s="4">
        <f t="shared" si="56"/>
        <v>0</v>
      </c>
      <c r="I231" s="70">
        <f t="shared" si="51"/>
        <v>0</v>
      </c>
      <c r="J231" s="4">
        <f t="shared" si="57"/>
        <v>0</v>
      </c>
      <c r="K231" s="70">
        <f t="shared" si="52"/>
        <v>0</v>
      </c>
      <c r="L231" s="1" t="str">
        <f>IF('R10'!D49="F-SMRA","A",IF('R10'!D49="F-SMRB","B",IF('R10'!D49="F-SMRC","C","D")))</f>
        <v>D</v>
      </c>
    </row>
    <row r="232" spans="1:12" x14ac:dyDescent="0.2">
      <c r="A232" s="257">
        <f t="shared" si="47"/>
        <v>0</v>
      </c>
      <c r="B232" s="4">
        <f t="shared" si="53"/>
        <v>0</v>
      </c>
      <c r="C232" s="70">
        <f t="shared" si="48"/>
        <v>0</v>
      </c>
      <c r="D232" s="4">
        <f t="shared" si="54"/>
        <v>0</v>
      </c>
      <c r="E232" s="70">
        <f t="shared" si="49"/>
        <v>0</v>
      </c>
      <c r="F232" s="4">
        <f t="shared" si="55"/>
        <v>0</v>
      </c>
      <c r="G232" s="70">
        <f t="shared" si="50"/>
        <v>0</v>
      </c>
      <c r="H232" s="4">
        <f t="shared" si="56"/>
        <v>0</v>
      </c>
      <c r="I232" s="70">
        <f t="shared" si="51"/>
        <v>0</v>
      </c>
      <c r="J232" s="4">
        <f t="shared" si="57"/>
        <v>0</v>
      </c>
      <c r="K232" s="70">
        <f t="shared" si="52"/>
        <v>0</v>
      </c>
      <c r="L232" s="1" t="str">
        <f>IF('R10'!D50="F-SMRA","A",IF('R10'!D50="F-SMRB","B",IF('R10'!D50="F-SMRC","C","D")))</f>
        <v>D</v>
      </c>
    </row>
    <row r="233" spans="1:12" x14ac:dyDescent="0.2">
      <c r="A233" s="257">
        <f t="shared" si="47"/>
        <v>0</v>
      </c>
      <c r="B233" s="4">
        <f t="shared" si="53"/>
        <v>0</v>
      </c>
      <c r="C233" s="70">
        <f t="shared" si="48"/>
        <v>0</v>
      </c>
      <c r="D233" s="4">
        <f t="shared" si="54"/>
        <v>0</v>
      </c>
      <c r="E233" s="70">
        <f t="shared" si="49"/>
        <v>0</v>
      </c>
      <c r="F233" s="4">
        <f t="shared" si="55"/>
        <v>0</v>
      </c>
      <c r="G233" s="70">
        <f t="shared" si="50"/>
        <v>0</v>
      </c>
      <c r="H233" s="4">
        <f t="shared" si="56"/>
        <v>0</v>
      </c>
      <c r="I233" s="70">
        <f t="shared" si="51"/>
        <v>0</v>
      </c>
      <c r="J233" s="4">
        <f t="shared" si="57"/>
        <v>0</v>
      </c>
      <c r="K233" s="70">
        <f t="shared" si="52"/>
        <v>0</v>
      </c>
      <c r="L233" s="1" t="str">
        <f>IF('R10'!D51="F-SMRA","A",IF('R10'!D51="F-SMRB","B",IF('R10'!D51="F-SMRC","C","D")))</f>
        <v>D</v>
      </c>
    </row>
    <row r="234" spans="1:12" x14ac:dyDescent="0.2">
      <c r="A234" s="257">
        <f t="shared" si="47"/>
        <v>0</v>
      </c>
      <c r="B234" s="4">
        <f t="shared" si="53"/>
        <v>0</v>
      </c>
      <c r="C234" s="70">
        <f t="shared" si="48"/>
        <v>0</v>
      </c>
      <c r="D234" s="4">
        <f t="shared" si="54"/>
        <v>0</v>
      </c>
      <c r="E234" s="70">
        <f t="shared" si="49"/>
        <v>0</v>
      </c>
      <c r="F234" s="4">
        <f t="shared" si="55"/>
        <v>0</v>
      </c>
      <c r="G234" s="70">
        <f t="shared" si="50"/>
        <v>0</v>
      </c>
      <c r="H234" s="4">
        <f t="shared" si="56"/>
        <v>0</v>
      </c>
      <c r="I234" s="70">
        <f t="shared" si="51"/>
        <v>0</v>
      </c>
      <c r="J234" s="4">
        <f t="shared" si="57"/>
        <v>0</v>
      </c>
      <c r="K234" s="70">
        <f t="shared" si="52"/>
        <v>0</v>
      </c>
      <c r="L234" s="1" t="str">
        <f>IF('R10'!D52="F-SMRA","A",IF('R10'!D52="F-SMRB","B",IF('R10'!D52="F-SMRC","C","D")))</f>
        <v>D</v>
      </c>
    </row>
    <row r="235" spans="1:12" x14ac:dyDescent="0.2">
      <c r="A235" s="257">
        <f t="shared" si="47"/>
        <v>0</v>
      </c>
      <c r="B235" s="4">
        <f t="shared" si="53"/>
        <v>0</v>
      </c>
      <c r="C235" s="70">
        <f t="shared" si="48"/>
        <v>0</v>
      </c>
      <c r="D235" s="4">
        <f t="shared" si="54"/>
        <v>0</v>
      </c>
      <c r="E235" s="70">
        <f t="shared" si="49"/>
        <v>0</v>
      </c>
      <c r="F235" s="4">
        <f t="shared" si="55"/>
        <v>0</v>
      </c>
      <c r="G235" s="70">
        <f t="shared" si="50"/>
        <v>0</v>
      </c>
      <c r="H235" s="4">
        <f t="shared" si="56"/>
        <v>0</v>
      </c>
      <c r="I235" s="70">
        <f t="shared" si="51"/>
        <v>0</v>
      </c>
      <c r="J235" s="4">
        <f t="shared" si="57"/>
        <v>0</v>
      </c>
      <c r="K235" s="70">
        <f t="shared" si="52"/>
        <v>0</v>
      </c>
      <c r="L235" s="1" t="str">
        <f>IF('R10'!D53="F-SMRA","A",IF('R10'!D53="F-SMRB","B",IF('R10'!D53="F-SMRC","C","D")))</f>
        <v>D</v>
      </c>
    </row>
    <row r="236" spans="1:12" x14ac:dyDescent="0.2">
      <c r="A236" s="257">
        <f t="shared" si="47"/>
        <v>0</v>
      </c>
      <c r="B236" s="4">
        <f t="shared" si="53"/>
        <v>0</v>
      </c>
      <c r="C236" s="70">
        <f t="shared" si="48"/>
        <v>0</v>
      </c>
      <c r="D236" s="4">
        <f t="shared" si="54"/>
        <v>0</v>
      </c>
      <c r="E236" s="70">
        <f t="shared" si="49"/>
        <v>0</v>
      </c>
      <c r="F236" s="4">
        <f t="shared" si="55"/>
        <v>0</v>
      </c>
      <c r="G236" s="70">
        <f t="shared" si="50"/>
        <v>0</v>
      </c>
      <c r="H236" s="4">
        <f t="shared" si="56"/>
        <v>0</v>
      </c>
      <c r="I236" s="70">
        <f t="shared" si="51"/>
        <v>0</v>
      </c>
      <c r="J236" s="4">
        <f t="shared" si="57"/>
        <v>0</v>
      </c>
      <c r="K236" s="70">
        <f t="shared" si="52"/>
        <v>0</v>
      </c>
      <c r="L236" s="1" t="str">
        <f>IF('R10'!D54="F-SMRA","A",IF('R10'!D54="F-SMRB","B",IF('R10'!D54="F-SMRC","C","D")))</f>
        <v>D</v>
      </c>
    </row>
    <row r="237" spans="1:12" x14ac:dyDescent="0.2">
      <c r="A237" s="257">
        <f t="shared" si="47"/>
        <v>0</v>
      </c>
      <c r="B237" s="4">
        <f t="shared" si="53"/>
        <v>0</v>
      </c>
      <c r="C237" s="70">
        <f t="shared" si="48"/>
        <v>0</v>
      </c>
      <c r="D237" s="4">
        <f t="shared" si="54"/>
        <v>0</v>
      </c>
      <c r="E237" s="70">
        <f t="shared" si="49"/>
        <v>0</v>
      </c>
      <c r="F237" s="4">
        <f t="shared" si="55"/>
        <v>0</v>
      </c>
      <c r="G237" s="70">
        <f t="shared" si="50"/>
        <v>0</v>
      </c>
      <c r="H237" s="4">
        <f t="shared" si="56"/>
        <v>0</v>
      </c>
      <c r="I237" s="70">
        <f t="shared" si="51"/>
        <v>0</v>
      </c>
      <c r="J237" s="4">
        <f t="shared" si="57"/>
        <v>0</v>
      </c>
      <c r="K237" s="70">
        <f t="shared" si="52"/>
        <v>0</v>
      </c>
      <c r="L237" s="1" t="str">
        <f>IF('R10'!D55="F-SMRA","A",IF('R10'!D55="F-SMRB","B",IF('R10'!D55="F-SMRC","C","D")))</f>
        <v>D</v>
      </c>
    </row>
    <row r="238" spans="1:12" x14ac:dyDescent="0.2">
      <c r="A238" s="257">
        <f t="shared" si="47"/>
        <v>0</v>
      </c>
      <c r="B238" s="4">
        <f t="shared" si="53"/>
        <v>0</v>
      </c>
      <c r="C238" s="70">
        <f t="shared" si="48"/>
        <v>0</v>
      </c>
      <c r="D238" s="4">
        <f t="shared" si="54"/>
        <v>0</v>
      </c>
      <c r="E238" s="70">
        <f t="shared" si="49"/>
        <v>0</v>
      </c>
      <c r="F238" s="4">
        <f t="shared" si="55"/>
        <v>0</v>
      </c>
      <c r="G238" s="70">
        <f t="shared" si="50"/>
        <v>0</v>
      </c>
      <c r="H238" s="4">
        <f t="shared" si="56"/>
        <v>0</v>
      </c>
      <c r="I238" s="70">
        <f t="shared" si="51"/>
        <v>0</v>
      </c>
      <c r="J238" s="4">
        <f t="shared" si="57"/>
        <v>0</v>
      </c>
      <c r="K238" s="70">
        <f t="shared" si="52"/>
        <v>0</v>
      </c>
      <c r="L238" s="1" t="str">
        <f>IF('R10'!D56="F-SMRA","A",IF('R10'!D56="F-SMRB","B",IF('R10'!D56="F-SMRC","C","D")))</f>
        <v>D</v>
      </c>
    </row>
    <row r="239" spans="1:12" x14ac:dyDescent="0.2">
      <c r="A239" s="257">
        <f t="shared" si="47"/>
        <v>0</v>
      </c>
      <c r="B239" s="4">
        <f t="shared" si="53"/>
        <v>0</v>
      </c>
      <c r="C239" s="70">
        <f t="shared" si="48"/>
        <v>0</v>
      </c>
      <c r="D239" s="4">
        <f t="shared" si="54"/>
        <v>0</v>
      </c>
      <c r="E239" s="70">
        <f t="shared" si="49"/>
        <v>0</v>
      </c>
      <c r="F239" s="4">
        <f t="shared" si="55"/>
        <v>0</v>
      </c>
      <c r="G239" s="70">
        <f t="shared" si="50"/>
        <v>0</v>
      </c>
      <c r="H239" s="4">
        <f t="shared" si="56"/>
        <v>0</v>
      </c>
      <c r="I239" s="70">
        <f t="shared" si="51"/>
        <v>0</v>
      </c>
      <c r="J239" s="4">
        <f t="shared" si="57"/>
        <v>0</v>
      </c>
      <c r="K239" s="70">
        <f t="shared" si="52"/>
        <v>0</v>
      </c>
      <c r="L239" s="1" t="str">
        <f>IF('R10'!D57="F-SMRA","A",IF('R10'!D57="F-SMRB","B",IF('R10'!D57="F-SMRC","C","D")))</f>
        <v>D</v>
      </c>
    </row>
    <row r="240" spans="1:12" x14ac:dyDescent="0.2">
      <c r="A240" s="257">
        <f t="shared" si="47"/>
        <v>0</v>
      </c>
      <c r="B240" s="4">
        <f t="shared" si="53"/>
        <v>0</v>
      </c>
      <c r="C240" s="70">
        <f t="shared" si="48"/>
        <v>0</v>
      </c>
      <c r="D240" s="4">
        <f t="shared" si="54"/>
        <v>0</v>
      </c>
      <c r="E240" s="70">
        <f t="shared" si="49"/>
        <v>0</v>
      </c>
      <c r="F240" s="4">
        <f t="shared" si="55"/>
        <v>0</v>
      </c>
      <c r="G240" s="70">
        <f t="shared" si="50"/>
        <v>0</v>
      </c>
      <c r="H240" s="4">
        <f t="shared" si="56"/>
        <v>0</v>
      </c>
      <c r="I240" s="70">
        <f t="shared" si="51"/>
        <v>0</v>
      </c>
      <c r="J240" s="4">
        <f t="shared" si="57"/>
        <v>0</v>
      </c>
      <c r="K240" s="70">
        <f t="shared" si="52"/>
        <v>0</v>
      </c>
      <c r="L240" s="1" t="str">
        <f>IF('R10'!D58="F-SMRA","A",IF('R10'!D58="F-SMRB","B",IF('R10'!D58="F-SMRC","C","D")))</f>
        <v>D</v>
      </c>
    </row>
    <row r="241" spans="1:12" x14ac:dyDescent="0.2">
      <c r="A241" s="77">
        <f t="shared" si="47"/>
        <v>0</v>
      </c>
      <c r="B241" s="4">
        <f t="shared" si="53"/>
        <v>0</v>
      </c>
      <c r="C241" s="70">
        <f t="shared" si="48"/>
        <v>0</v>
      </c>
      <c r="D241" s="4">
        <f t="shared" si="54"/>
        <v>0</v>
      </c>
      <c r="E241" s="70">
        <f t="shared" si="49"/>
        <v>0</v>
      </c>
      <c r="F241" s="4">
        <f t="shared" si="55"/>
        <v>0</v>
      </c>
      <c r="G241" s="70">
        <f t="shared" si="50"/>
        <v>0</v>
      </c>
      <c r="H241" s="4">
        <f t="shared" si="56"/>
        <v>0</v>
      </c>
      <c r="I241" s="70">
        <f t="shared" si="51"/>
        <v>0</v>
      </c>
      <c r="J241" s="4">
        <f t="shared" si="57"/>
        <v>0</v>
      </c>
      <c r="K241" s="70">
        <f t="shared" si="52"/>
        <v>0</v>
      </c>
      <c r="L241" s="1" t="str">
        <f>IF('R10'!D59="F-SMRA","A",IF('R10'!D59="F-SMRB","B",IF('R10'!D59="F-SMRC","C","D")))</f>
        <v>D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>
        <f t="shared" ref="B247:K247" si="58">B56</f>
        <v>0.17299999999999999</v>
      </c>
      <c r="C247" s="83">
        <f t="shared" si="58"/>
        <v>0.17799999999999999</v>
      </c>
      <c r="D247" s="83">
        <f t="shared" si="58"/>
        <v>0.17799999999999999</v>
      </c>
      <c r="E247" s="83">
        <f t="shared" si="58"/>
        <v>0.183</v>
      </c>
      <c r="F247" s="83">
        <f t="shared" si="58"/>
        <v>0.183</v>
      </c>
      <c r="G247" s="83">
        <f t="shared" si="58"/>
        <v>0.188</v>
      </c>
      <c r="H247" s="83">
        <f t="shared" si="58"/>
        <v>0.188</v>
      </c>
      <c r="I247" s="83">
        <f t="shared" si="58"/>
        <v>0.19400000000000001</v>
      </c>
      <c r="J247" s="83">
        <f t="shared" si="58"/>
        <v>0.19400000000000001</v>
      </c>
      <c r="K247" s="83">
        <f t="shared" si="58"/>
        <v>0.2</v>
      </c>
    </row>
    <row r="248" spans="1:12" x14ac:dyDescent="0.2">
      <c r="A248" s="75">
        <f>A218</f>
        <v>0</v>
      </c>
      <c r="B248" s="4">
        <f>B218</f>
        <v>0</v>
      </c>
      <c r="C248" s="4">
        <f t="shared" ref="C248:K248" si="59">C218</f>
        <v>0</v>
      </c>
      <c r="D248" s="4">
        <f t="shared" si="59"/>
        <v>0</v>
      </c>
      <c r="E248" s="4">
        <f t="shared" si="59"/>
        <v>0</v>
      </c>
      <c r="F248" s="4">
        <f t="shared" si="59"/>
        <v>0</v>
      </c>
      <c r="G248" s="4">
        <f t="shared" si="59"/>
        <v>0</v>
      </c>
      <c r="H248" s="4">
        <f t="shared" si="59"/>
        <v>0</v>
      </c>
      <c r="I248" s="4">
        <f t="shared" si="59"/>
        <v>0</v>
      </c>
      <c r="J248" s="4">
        <f t="shared" si="59"/>
        <v>0</v>
      </c>
      <c r="K248" s="4">
        <f t="shared" si="59"/>
        <v>0</v>
      </c>
    </row>
    <row r="249" spans="1:12" x14ac:dyDescent="0.2">
      <c r="A249" s="75">
        <f t="shared" ref="A249:K264" si="60">A219</f>
        <v>0</v>
      </c>
      <c r="B249" s="4">
        <f t="shared" si="60"/>
        <v>0</v>
      </c>
      <c r="C249" s="4">
        <f t="shared" si="60"/>
        <v>0</v>
      </c>
      <c r="D249" s="4">
        <f t="shared" si="60"/>
        <v>0</v>
      </c>
      <c r="E249" s="4">
        <f t="shared" si="60"/>
        <v>0</v>
      </c>
      <c r="F249" s="4">
        <f t="shared" si="60"/>
        <v>0</v>
      </c>
      <c r="G249" s="4">
        <f t="shared" si="60"/>
        <v>0</v>
      </c>
      <c r="H249" s="4">
        <f t="shared" si="60"/>
        <v>0</v>
      </c>
      <c r="I249" s="4">
        <f t="shared" si="60"/>
        <v>0</v>
      </c>
      <c r="J249" s="4">
        <f t="shared" si="60"/>
        <v>0</v>
      </c>
      <c r="K249" s="4">
        <f t="shared" si="60"/>
        <v>0</v>
      </c>
    </row>
    <row r="250" spans="1:12" x14ac:dyDescent="0.2">
      <c r="A250" s="75">
        <f t="shared" si="60"/>
        <v>0</v>
      </c>
      <c r="B250" s="4">
        <f t="shared" si="60"/>
        <v>0</v>
      </c>
      <c r="C250" s="4">
        <f t="shared" si="60"/>
        <v>0</v>
      </c>
      <c r="D250" s="4">
        <f t="shared" si="60"/>
        <v>0</v>
      </c>
      <c r="E250" s="4">
        <f t="shared" si="60"/>
        <v>0</v>
      </c>
      <c r="F250" s="4">
        <f t="shared" si="60"/>
        <v>0</v>
      </c>
      <c r="G250" s="4">
        <f t="shared" si="60"/>
        <v>0</v>
      </c>
      <c r="H250" s="4">
        <f t="shared" si="60"/>
        <v>0</v>
      </c>
      <c r="I250" s="4">
        <f t="shared" si="60"/>
        <v>0</v>
      </c>
      <c r="J250" s="4">
        <f t="shared" si="60"/>
        <v>0</v>
      </c>
      <c r="K250" s="4">
        <f t="shared" si="60"/>
        <v>0</v>
      </c>
    </row>
    <row r="251" spans="1:12" x14ac:dyDescent="0.2">
      <c r="A251" s="75">
        <f t="shared" si="60"/>
        <v>0</v>
      </c>
      <c r="B251" s="4">
        <f t="shared" si="60"/>
        <v>0</v>
      </c>
      <c r="C251" s="4">
        <f t="shared" si="60"/>
        <v>0</v>
      </c>
      <c r="D251" s="4">
        <f t="shared" si="60"/>
        <v>0</v>
      </c>
      <c r="E251" s="4">
        <f t="shared" si="60"/>
        <v>0</v>
      </c>
      <c r="F251" s="4">
        <f t="shared" si="60"/>
        <v>0</v>
      </c>
      <c r="G251" s="4">
        <f t="shared" si="60"/>
        <v>0</v>
      </c>
      <c r="H251" s="4">
        <f t="shared" si="60"/>
        <v>0</v>
      </c>
      <c r="I251" s="4">
        <f t="shared" si="60"/>
        <v>0</v>
      </c>
      <c r="J251" s="4">
        <f t="shared" si="60"/>
        <v>0</v>
      </c>
      <c r="K251" s="4">
        <f t="shared" si="60"/>
        <v>0</v>
      </c>
    </row>
    <row r="252" spans="1:12" x14ac:dyDescent="0.2">
      <c r="A252" s="75">
        <f t="shared" si="60"/>
        <v>0</v>
      </c>
      <c r="B252" s="4">
        <f t="shared" si="60"/>
        <v>0</v>
      </c>
      <c r="C252" s="4">
        <f t="shared" si="60"/>
        <v>0</v>
      </c>
      <c r="D252" s="4">
        <f t="shared" si="60"/>
        <v>0</v>
      </c>
      <c r="E252" s="4">
        <f t="shared" si="60"/>
        <v>0</v>
      </c>
      <c r="F252" s="4">
        <f t="shared" si="60"/>
        <v>0</v>
      </c>
      <c r="G252" s="4">
        <f t="shared" si="60"/>
        <v>0</v>
      </c>
      <c r="H252" s="4">
        <f t="shared" si="60"/>
        <v>0</v>
      </c>
      <c r="I252" s="4">
        <f t="shared" si="60"/>
        <v>0</v>
      </c>
      <c r="J252" s="4">
        <f t="shared" si="60"/>
        <v>0</v>
      </c>
      <c r="K252" s="4">
        <f t="shared" si="60"/>
        <v>0</v>
      </c>
    </row>
    <row r="253" spans="1:12" x14ac:dyDescent="0.2">
      <c r="A253" s="75">
        <f t="shared" si="60"/>
        <v>0</v>
      </c>
      <c r="B253" s="4">
        <f t="shared" si="60"/>
        <v>0</v>
      </c>
      <c r="C253" s="4">
        <f t="shared" si="60"/>
        <v>0</v>
      </c>
      <c r="D253" s="4">
        <f t="shared" si="60"/>
        <v>0</v>
      </c>
      <c r="E253" s="4">
        <f t="shared" si="60"/>
        <v>0</v>
      </c>
      <c r="F253" s="4">
        <f t="shared" si="60"/>
        <v>0</v>
      </c>
      <c r="G253" s="4">
        <f t="shared" si="60"/>
        <v>0</v>
      </c>
      <c r="H253" s="4">
        <f t="shared" si="60"/>
        <v>0</v>
      </c>
      <c r="I253" s="4">
        <f t="shared" si="60"/>
        <v>0</v>
      </c>
      <c r="J253" s="4">
        <f t="shared" si="60"/>
        <v>0</v>
      </c>
      <c r="K253" s="4">
        <f t="shared" si="60"/>
        <v>0</v>
      </c>
    </row>
    <row r="254" spans="1:12" x14ac:dyDescent="0.2">
      <c r="A254" s="75">
        <f t="shared" si="60"/>
        <v>0</v>
      </c>
      <c r="B254" s="4">
        <f t="shared" si="60"/>
        <v>0</v>
      </c>
      <c r="C254" s="4">
        <f t="shared" si="60"/>
        <v>0</v>
      </c>
      <c r="D254" s="4">
        <f t="shared" si="60"/>
        <v>0</v>
      </c>
      <c r="E254" s="4">
        <f t="shared" si="60"/>
        <v>0</v>
      </c>
      <c r="F254" s="4">
        <f t="shared" si="60"/>
        <v>0</v>
      </c>
      <c r="G254" s="4">
        <f t="shared" si="60"/>
        <v>0</v>
      </c>
      <c r="H254" s="4">
        <f t="shared" si="60"/>
        <v>0</v>
      </c>
      <c r="I254" s="4">
        <f t="shared" si="60"/>
        <v>0</v>
      </c>
      <c r="J254" s="4">
        <f t="shared" si="60"/>
        <v>0</v>
      </c>
      <c r="K254" s="4">
        <f t="shared" si="60"/>
        <v>0</v>
      </c>
    </row>
    <row r="255" spans="1:12" x14ac:dyDescent="0.2">
      <c r="A255" s="75">
        <f t="shared" si="60"/>
        <v>0</v>
      </c>
      <c r="B255" s="4">
        <f t="shared" si="60"/>
        <v>0</v>
      </c>
      <c r="C255" s="4">
        <f t="shared" si="60"/>
        <v>0</v>
      </c>
      <c r="D255" s="4">
        <f t="shared" si="60"/>
        <v>0</v>
      </c>
      <c r="E255" s="4">
        <f t="shared" si="60"/>
        <v>0</v>
      </c>
      <c r="F255" s="4">
        <f t="shared" si="60"/>
        <v>0</v>
      </c>
      <c r="G255" s="4">
        <f t="shared" si="60"/>
        <v>0</v>
      </c>
      <c r="H255" s="4">
        <f t="shared" si="60"/>
        <v>0</v>
      </c>
      <c r="I255" s="4">
        <f t="shared" si="60"/>
        <v>0</v>
      </c>
      <c r="J255" s="4">
        <f t="shared" si="60"/>
        <v>0</v>
      </c>
      <c r="K255" s="4">
        <f t="shared" si="60"/>
        <v>0</v>
      </c>
    </row>
    <row r="256" spans="1:12" x14ac:dyDescent="0.2">
      <c r="A256" s="75">
        <f t="shared" si="60"/>
        <v>0</v>
      </c>
      <c r="B256" s="4">
        <f t="shared" si="60"/>
        <v>0</v>
      </c>
      <c r="C256" s="4">
        <f t="shared" si="60"/>
        <v>0</v>
      </c>
      <c r="D256" s="4">
        <f t="shared" si="60"/>
        <v>0</v>
      </c>
      <c r="E256" s="4">
        <f t="shared" si="60"/>
        <v>0</v>
      </c>
      <c r="F256" s="4">
        <f t="shared" si="60"/>
        <v>0</v>
      </c>
      <c r="G256" s="4">
        <f t="shared" si="60"/>
        <v>0</v>
      </c>
      <c r="H256" s="4">
        <f t="shared" si="60"/>
        <v>0</v>
      </c>
      <c r="I256" s="4">
        <f t="shared" si="60"/>
        <v>0</v>
      </c>
      <c r="J256" s="4">
        <f t="shared" si="60"/>
        <v>0</v>
      </c>
      <c r="K256" s="4">
        <f t="shared" si="60"/>
        <v>0</v>
      </c>
    </row>
    <row r="257" spans="1:11" x14ac:dyDescent="0.2">
      <c r="A257" s="75">
        <f t="shared" si="60"/>
        <v>0</v>
      </c>
      <c r="B257" s="4">
        <f t="shared" si="60"/>
        <v>0</v>
      </c>
      <c r="C257" s="4">
        <f t="shared" si="60"/>
        <v>0</v>
      </c>
      <c r="D257" s="4">
        <f t="shared" si="60"/>
        <v>0</v>
      </c>
      <c r="E257" s="4">
        <f t="shared" si="60"/>
        <v>0</v>
      </c>
      <c r="F257" s="4">
        <f t="shared" si="60"/>
        <v>0</v>
      </c>
      <c r="G257" s="4">
        <f t="shared" si="60"/>
        <v>0</v>
      </c>
      <c r="H257" s="4">
        <f t="shared" si="60"/>
        <v>0</v>
      </c>
      <c r="I257" s="4">
        <f t="shared" si="60"/>
        <v>0</v>
      </c>
      <c r="J257" s="4">
        <f t="shared" si="60"/>
        <v>0</v>
      </c>
      <c r="K257" s="4">
        <f t="shared" si="60"/>
        <v>0</v>
      </c>
    </row>
    <row r="258" spans="1:11" x14ac:dyDescent="0.2">
      <c r="A258" s="75">
        <f t="shared" si="60"/>
        <v>0</v>
      </c>
      <c r="B258" s="4">
        <f t="shared" si="60"/>
        <v>0</v>
      </c>
      <c r="C258" s="4">
        <f t="shared" si="60"/>
        <v>0</v>
      </c>
      <c r="D258" s="4">
        <f t="shared" si="60"/>
        <v>0</v>
      </c>
      <c r="E258" s="4">
        <f t="shared" si="60"/>
        <v>0</v>
      </c>
      <c r="F258" s="4">
        <f t="shared" si="60"/>
        <v>0</v>
      </c>
      <c r="G258" s="4">
        <f t="shared" si="60"/>
        <v>0</v>
      </c>
      <c r="H258" s="4">
        <f t="shared" si="60"/>
        <v>0</v>
      </c>
      <c r="I258" s="4">
        <f t="shared" si="60"/>
        <v>0</v>
      </c>
      <c r="J258" s="4">
        <f t="shared" si="60"/>
        <v>0</v>
      </c>
      <c r="K258" s="4">
        <f t="shared" si="60"/>
        <v>0</v>
      </c>
    </row>
    <row r="259" spans="1:11" x14ac:dyDescent="0.2">
      <c r="A259" s="75">
        <f t="shared" si="60"/>
        <v>0</v>
      </c>
      <c r="B259" s="4">
        <f t="shared" si="60"/>
        <v>0</v>
      </c>
      <c r="C259" s="4">
        <f t="shared" si="60"/>
        <v>0</v>
      </c>
      <c r="D259" s="4">
        <f t="shared" si="60"/>
        <v>0</v>
      </c>
      <c r="E259" s="4">
        <f t="shared" si="60"/>
        <v>0</v>
      </c>
      <c r="F259" s="4">
        <f t="shared" si="60"/>
        <v>0</v>
      </c>
      <c r="G259" s="4">
        <f t="shared" si="60"/>
        <v>0</v>
      </c>
      <c r="H259" s="4">
        <f t="shared" si="60"/>
        <v>0</v>
      </c>
      <c r="I259" s="4">
        <f t="shared" si="60"/>
        <v>0</v>
      </c>
      <c r="J259" s="4">
        <f t="shared" si="60"/>
        <v>0</v>
      </c>
      <c r="K259" s="4">
        <f t="shared" si="60"/>
        <v>0</v>
      </c>
    </row>
    <row r="260" spans="1:11" x14ac:dyDescent="0.2">
      <c r="A260" s="75">
        <f t="shared" si="60"/>
        <v>0</v>
      </c>
      <c r="B260" s="4">
        <f t="shared" si="60"/>
        <v>0</v>
      </c>
      <c r="C260" s="4">
        <f t="shared" si="60"/>
        <v>0</v>
      </c>
      <c r="D260" s="4">
        <f t="shared" si="60"/>
        <v>0</v>
      </c>
      <c r="E260" s="4">
        <f t="shared" si="60"/>
        <v>0</v>
      </c>
      <c r="F260" s="4">
        <f t="shared" si="60"/>
        <v>0</v>
      </c>
      <c r="G260" s="4">
        <f t="shared" si="60"/>
        <v>0</v>
      </c>
      <c r="H260" s="4">
        <f t="shared" si="60"/>
        <v>0</v>
      </c>
      <c r="I260" s="4">
        <f t="shared" si="60"/>
        <v>0</v>
      </c>
      <c r="J260" s="4">
        <f t="shared" si="60"/>
        <v>0</v>
      </c>
      <c r="K260" s="4">
        <f t="shared" si="60"/>
        <v>0</v>
      </c>
    </row>
    <row r="261" spans="1:11" x14ac:dyDescent="0.2">
      <c r="A261" s="75">
        <f t="shared" si="60"/>
        <v>0</v>
      </c>
      <c r="B261" s="4">
        <f t="shared" si="60"/>
        <v>0</v>
      </c>
      <c r="C261" s="4">
        <f t="shared" si="60"/>
        <v>0</v>
      </c>
      <c r="D261" s="4">
        <f t="shared" si="60"/>
        <v>0</v>
      </c>
      <c r="E261" s="4">
        <f t="shared" si="60"/>
        <v>0</v>
      </c>
      <c r="F261" s="4">
        <f t="shared" si="60"/>
        <v>0</v>
      </c>
      <c r="G261" s="4">
        <f t="shared" si="60"/>
        <v>0</v>
      </c>
      <c r="H261" s="4">
        <f t="shared" si="60"/>
        <v>0</v>
      </c>
      <c r="I261" s="4">
        <f t="shared" si="60"/>
        <v>0</v>
      </c>
      <c r="J261" s="4">
        <f t="shared" si="60"/>
        <v>0</v>
      </c>
      <c r="K261" s="4">
        <f t="shared" si="60"/>
        <v>0</v>
      </c>
    </row>
    <row r="262" spans="1:11" x14ac:dyDescent="0.2">
      <c r="A262" s="75">
        <f t="shared" si="60"/>
        <v>0</v>
      </c>
      <c r="B262" s="4">
        <f t="shared" si="60"/>
        <v>0</v>
      </c>
      <c r="C262" s="4">
        <f t="shared" si="60"/>
        <v>0</v>
      </c>
      <c r="D262" s="4">
        <f t="shared" si="60"/>
        <v>0</v>
      </c>
      <c r="E262" s="4">
        <f t="shared" si="60"/>
        <v>0</v>
      </c>
      <c r="F262" s="4">
        <f t="shared" si="60"/>
        <v>0</v>
      </c>
      <c r="G262" s="4">
        <f t="shared" si="60"/>
        <v>0</v>
      </c>
      <c r="H262" s="4">
        <f t="shared" si="60"/>
        <v>0</v>
      </c>
      <c r="I262" s="4">
        <f t="shared" si="60"/>
        <v>0</v>
      </c>
      <c r="J262" s="4">
        <f t="shared" si="60"/>
        <v>0</v>
      </c>
      <c r="K262" s="4">
        <f t="shared" si="60"/>
        <v>0</v>
      </c>
    </row>
    <row r="263" spans="1:11" x14ac:dyDescent="0.2">
      <c r="A263" s="75">
        <f t="shared" si="60"/>
        <v>0</v>
      </c>
      <c r="B263" s="4">
        <f t="shared" si="60"/>
        <v>0</v>
      </c>
      <c r="C263" s="4">
        <f t="shared" si="60"/>
        <v>0</v>
      </c>
      <c r="D263" s="4">
        <f t="shared" si="60"/>
        <v>0</v>
      </c>
      <c r="E263" s="4">
        <f t="shared" si="60"/>
        <v>0</v>
      </c>
      <c r="F263" s="4">
        <f t="shared" si="60"/>
        <v>0</v>
      </c>
      <c r="G263" s="4">
        <f t="shared" si="60"/>
        <v>0</v>
      </c>
      <c r="H263" s="4">
        <f t="shared" si="60"/>
        <v>0</v>
      </c>
      <c r="I263" s="4">
        <f t="shared" si="60"/>
        <v>0</v>
      </c>
      <c r="J263" s="4">
        <f t="shared" si="60"/>
        <v>0</v>
      </c>
      <c r="K263" s="4">
        <f t="shared" si="60"/>
        <v>0</v>
      </c>
    </row>
    <row r="264" spans="1:11" x14ac:dyDescent="0.2">
      <c r="A264" s="75">
        <f t="shared" si="60"/>
        <v>0</v>
      </c>
      <c r="B264" s="4">
        <f t="shared" si="60"/>
        <v>0</v>
      </c>
      <c r="C264" s="4">
        <f t="shared" si="60"/>
        <v>0</v>
      </c>
      <c r="D264" s="4">
        <f t="shared" si="60"/>
        <v>0</v>
      </c>
      <c r="E264" s="4">
        <f t="shared" si="60"/>
        <v>0</v>
      </c>
      <c r="F264" s="4">
        <f t="shared" si="60"/>
        <v>0</v>
      </c>
      <c r="G264" s="4">
        <f t="shared" si="60"/>
        <v>0</v>
      </c>
      <c r="H264" s="4">
        <f t="shared" si="60"/>
        <v>0</v>
      </c>
      <c r="I264" s="4">
        <f t="shared" si="60"/>
        <v>0</v>
      </c>
      <c r="J264" s="4">
        <f t="shared" si="60"/>
        <v>0</v>
      </c>
      <c r="K264" s="4">
        <f t="shared" si="60"/>
        <v>0</v>
      </c>
    </row>
    <row r="265" spans="1:11" x14ac:dyDescent="0.2">
      <c r="A265" s="75">
        <f t="shared" ref="A265:K271" si="61">A235</f>
        <v>0</v>
      </c>
      <c r="B265" s="4">
        <f t="shared" si="61"/>
        <v>0</v>
      </c>
      <c r="C265" s="4">
        <f t="shared" si="61"/>
        <v>0</v>
      </c>
      <c r="D265" s="4">
        <f t="shared" si="61"/>
        <v>0</v>
      </c>
      <c r="E265" s="4">
        <f t="shared" si="61"/>
        <v>0</v>
      </c>
      <c r="F265" s="4">
        <f t="shared" si="61"/>
        <v>0</v>
      </c>
      <c r="G265" s="4">
        <f t="shared" si="61"/>
        <v>0</v>
      </c>
      <c r="H265" s="4">
        <f t="shared" si="61"/>
        <v>0</v>
      </c>
      <c r="I265" s="4">
        <f t="shared" si="61"/>
        <v>0</v>
      </c>
      <c r="J265" s="4">
        <f t="shared" si="61"/>
        <v>0</v>
      </c>
      <c r="K265" s="4">
        <f t="shared" si="61"/>
        <v>0</v>
      </c>
    </row>
    <row r="266" spans="1:11" x14ac:dyDescent="0.2">
      <c r="A266" s="75">
        <f t="shared" si="61"/>
        <v>0</v>
      </c>
      <c r="B266" s="4">
        <f t="shared" si="61"/>
        <v>0</v>
      </c>
      <c r="C266" s="4">
        <f t="shared" si="61"/>
        <v>0</v>
      </c>
      <c r="D266" s="4">
        <f t="shared" si="61"/>
        <v>0</v>
      </c>
      <c r="E266" s="4">
        <f t="shared" si="61"/>
        <v>0</v>
      </c>
      <c r="F266" s="4">
        <f t="shared" si="61"/>
        <v>0</v>
      </c>
      <c r="G266" s="4">
        <f t="shared" si="61"/>
        <v>0</v>
      </c>
      <c r="H266" s="4">
        <f t="shared" si="61"/>
        <v>0</v>
      </c>
      <c r="I266" s="4">
        <f t="shared" si="61"/>
        <v>0</v>
      </c>
      <c r="J266" s="4">
        <f t="shared" si="61"/>
        <v>0</v>
      </c>
      <c r="K266" s="4">
        <f t="shared" si="61"/>
        <v>0</v>
      </c>
    </row>
    <row r="267" spans="1:11" x14ac:dyDescent="0.2">
      <c r="A267" s="75">
        <f t="shared" si="61"/>
        <v>0</v>
      </c>
      <c r="B267" s="4">
        <f t="shared" si="61"/>
        <v>0</v>
      </c>
      <c r="C267" s="4">
        <f t="shared" si="61"/>
        <v>0</v>
      </c>
      <c r="D267" s="4">
        <f t="shared" si="61"/>
        <v>0</v>
      </c>
      <c r="E267" s="4">
        <f t="shared" si="61"/>
        <v>0</v>
      </c>
      <c r="F267" s="4">
        <f t="shared" si="61"/>
        <v>0</v>
      </c>
      <c r="G267" s="4">
        <f t="shared" si="61"/>
        <v>0</v>
      </c>
      <c r="H267" s="4">
        <f t="shared" si="61"/>
        <v>0</v>
      </c>
      <c r="I267" s="4">
        <f t="shared" si="61"/>
        <v>0</v>
      </c>
      <c r="J267" s="4">
        <f t="shared" si="61"/>
        <v>0</v>
      </c>
      <c r="K267" s="4">
        <f t="shared" si="61"/>
        <v>0</v>
      </c>
    </row>
    <row r="268" spans="1:11" x14ac:dyDescent="0.2">
      <c r="A268" s="75">
        <f t="shared" si="61"/>
        <v>0</v>
      </c>
      <c r="B268" s="4">
        <f t="shared" si="61"/>
        <v>0</v>
      </c>
      <c r="C268" s="4">
        <f t="shared" si="61"/>
        <v>0</v>
      </c>
      <c r="D268" s="4">
        <f t="shared" si="61"/>
        <v>0</v>
      </c>
      <c r="E268" s="4">
        <f t="shared" si="61"/>
        <v>0</v>
      </c>
      <c r="F268" s="4">
        <f t="shared" si="61"/>
        <v>0</v>
      </c>
      <c r="G268" s="4">
        <f t="shared" si="61"/>
        <v>0</v>
      </c>
      <c r="H268" s="4">
        <f t="shared" si="61"/>
        <v>0</v>
      </c>
      <c r="I268" s="4">
        <f t="shared" si="61"/>
        <v>0</v>
      </c>
      <c r="J268" s="4">
        <f t="shared" si="61"/>
        <v>0</v>
      </c>
      <c r="K268" s="4">
        <f t="shared" si="61"/>
        <v>0</v>
      </c>
    </row>
    <row r="269" spans="1:11" x14ac:dyDescent="0.2">
      <c r="A269" s="75">
        <f t="shared" si="61"/>
        <v>0</v>
      </c>
      <c r="B269" s="4">
        <f t="shared" si="61"/>
        <v>0</v>
      </c>
      <c r="C269" s="4">
        <f t="shared" si="61"/>
        <v>0</v>
      </c>
      <c r="D269" s="4">
        <f t="shared" si="61"/>
        <v>0</v>
      </c>
      <c r="E269" s="4">
        <f t="shared" si="61"/>
        <v>0</v>
      </c>
      <c r="F269" s="4">
        <f t="shared" si="61"/>
        <v>0</v>
      </c>
      <c r="G269" s="4">
        <f t="shared" si="61"/>
        <v>0</v>
      </c>
      <c r="H269" s="4">
        <f t="shared" si="61"/>
        <v>0</v>
      </c>
      <c r="I269" s="4">
        <f t="shared" si="61"/>
        <v>0</v>
      </c>
      <c r="J269" s="4">
        <f t="shared" si="61"/>
        <v>0</v>
      </c>
      <c r="K269" s="4">
        <f t="shared" si="61"/>
        <v>0</v>
      </c>
    </row>
    <row r="270" spans="1:11" x14ac:dyDescent="0.2">
      <c r="A270" s="75">
        <f t="shared" si="61"/>
        <v>0</v>
      </c>
      <c r="B270" s="4">
        <f t="shared" si="61"/>
        <v>0</v>
      </c>
      <c r="C270" s="4">
        <f t="shared" si="61"/>
        <v>0</v>
      </c>
      <c r="D270" s="4">
        <f t="shared" si="61"/>
        <v>0</v>
      </c>
      <c r="E270" s="4">
        <f t="shared" si="61"/>
        <v>0</v>
      </c>
      <c r="F270" s="4">
        <f t="shared" si="61"/>
        <v>0</v>
      </c>
      <c r="G270" s="4">
        <f t="shared" si="61"/>
        <v>0</v>
      </c>
      <c r="H270" s="4">
        <f t="shared" si="61"/>
        <v>0</v>
      </c>
      <c r="I270" s="4">
        <f t="shared" si="61"/>
        <v>0</v>
      </c>
      <c r="J270" s="4">
        <f t="shared" si="61"/>
        <v>0</v>
      </c>
      <c r="K270" s="4">
        <f t="shared" si="61"/>
        <v>0</v>
      </c>
    </row>
    <row r="271" spans="1:11" x14ac:dyDescent="0.2">
      <c r="A271" s="79">
        <f t="shared" si="61"/>
        <v>0</v>
      </c>
      <c r="B271" s="4">
        <f t="shared" si="61"/>
        <v>0</v>
      </c>
      <c r="C271" s="4">
        <f t="shared" si="61"/>
        <v>0</v>
      </c>
      <c r="D271" s="4">
        <f t="shared" si="61"/>
        <v>0</v>
      </c>
      <c r="E271" s="4">
        <f t="shared" si="61"/>
        <v>0</v>
      </c>
      <c r="F271" s="4">
        <f t="shared" si="61"/>
        <v>0</v>
      </c>
      <c r="G271" s="4">
        <f t="shared" si="61"/>
        <v>0</v>
      </c>
      <c r="H271" s="4">
        <f t="shared" si="61"/>
        <v>0</v>
      </c>
      <c r="I271" s="4">
        <f t="shared" si="61"/>
        <v>0</v>
      </c>
      <c r="J271" s="4">
        <f t="shared" si="61"/>
        <v>0</v>
      </c>
      <c r="K271" s="4">
        <f t="shared" si="61"/>
        <v>0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>
        <f>A248</f>
        <v>0</v>
      </c>
      <c r="B275" s="303" t="str">
        <f>IF(B$247=C$247,B$247*100,IF(C248=0,B$247*100&amp;"/0",IF(B248=0,"0/"&amp;C$247*100,B$247*100&amp;"/"&amp;C$247*100)))</f>
        <v>17.3/0</v>
      </c>
      <c r="C275" s="304"/>
      <c r="D275" s="305" t="str">
        <f>IF(D$247=E$247,D$247*100,IF(E248=0,D$247*100&amp;"/0",IF(D248=0,"0/"&amp;E$247*100,D$247*100&amp;"/"&amp;E$247*100)))</f>
        <v>17.8/0</v>
      </c>
      <c r="E275" s="306"/>
      <c r="F275" s="305" t="str">
        <f>IF(F$247=G$247,F$247*100,IF(G248=0,F$247*100&amp;"/0",IF(F248=0,"0/"&amp;G$247*100,F$247*100&amp;"/"&amp;G$247*100)))</f>
        <v>18.3/0</v>
      </c>
      <c r="G275" s="306"/>
      <c r="H275" s="305" t="str">
        <f>IF(H$247=I$247,H$247*100,IF(I248=0,H$247*100&amp;"/0",IF(H248=0,"0/"&amp;I$247*100,H$247*100&amp;"/"&amp;I$247*100)))</f>
        <v>18.8/0</v>
      </c>
      <c r="I275" s="306"/>
      <c r="J275" s="303" t="str">
        <f>IF($G$5="","",IF(J$247=K$247,J$247*100,IF(K248=0,J$247*100&amp;"/0",IF(J248=0,"0/"&amp;K$247*100,J$247*100&amp;"/"&amp;K$247*100))))</f>
        <v>19.4/0</v>
      </c>
      <c r="K275" s="304"/>
    </row>
    <row r="276" spans="1:11" x14ac:dyDescent="0.2">
      <c r="A276" s="82">
        <f t="shared" ref="A276:A298" si="62">A249</f>
        <v>0</v>
      </c>
      <c r="B276" s="303" t="str">
        <f>IF(B$247=C$247,B$247*100,IF(C249=0,B$247*100&amp;"/0",IF(B249=0,"0/"&amp;C$247*100,B$247*100&amp;"/"&amp;C$247*100)))</f>
        <v>17.3/0</v>
      </c>
      <c r="C276" s="304"/>
      <c r="D276" s="305" t="str">
        <f t="shared" ref="D276:D298" si="63">IF(D$247=E$247,D$247*100,IF(E249=0,D$247*100&amp;"/0",IF(D249=0,"0/"&amp;E$247*100,D$247*100&amp;"/"&amp;E$247*100)))</f>
        <v>17.8/0</v>
      </c>
      <c r="E276" s="306"/>
      <c r="F276" s="305" t="str">
        <f t="shared" ref="F276:F298" si="64">IF(F$247=G$247,F$247*100,IF(G249=0,F$247*100&amp;"/0",IF(F249=0,"0/"&amp;G$247*100,F$247*100&amp;"/"&amp;G$247*100)))</f>
        <v>18.3/0</v>
      </c>
      <c r="G276" s="306"/>
      <c r="H276" s="305" t="str">
        <f t="shared" ref="H276:H298" si="65">IF(H$247=I$247,H$247*100,IF(I249=0,H$247*100&amp;"/0",IF(H249=0,"0/"&amp;I$247*100,H$247*100&amp;"/"&amp;I$247*100)))</f>
        <v>18.8/0</v>
      </c>
      <c r="I276" s="306"/>
      <c r="J276" s="303" t="str">
        <f t="shared" ref="J276:J298" si="66">IF($G$5="","",IF(J$247=K$247,J$247*100,IF(K249=0,J$247*100&amp;"/0",IF(J249=0,"0/"&amp;K$247*100,J$247*100&amp;"/"&amp;K$247*100))))</f>
        <v>19.4/0</v>
      </c>
      <c r="K276" s="304"/>
    </row>
    <row r="277" spans="1:11" x14ac:dyDescent="0.2">
      <c r="A277" s="82">
        <f t="shared" si="62"/>
        <v>0</v>
      </c>
      <c r="B277" s="303" t="str">
        <f>IF(B$247=C$247,B$247*100,IF(C250=0,B$247*100&amp;"/0",IF(B250=0,"0/"&amp;C$247*100,B$247*100&amp;"/"&amp;C$247*100)))</f>
        <v>17.3/0</v>
      </c>
      <c r="C277" s="304"/>
      <c r="D277" s="305" t="str">
        <f t="shared" si="63"/>
        <v>17.8/0</v>
      </c>
      <c r="E277" s="306"/>
      <c r="F277" s="305" t="str">
        <f t="shared" si="64"/>
        <v>18.3/0</v>
      </c>
      <c r="G277" s="306"/>
      <c r="H277" s="305" t="str">
        <f t="shared" si="65"/>
        <v>18.8/0</v>
      </c>
      <c r="I277" s="306"/>
      <c r="J277" s="303" t="str">
        <f t="shared" si="66"/>
        <v>19.4/0</v>
      </c>
      <c r="K277" s="304"/>
    </row>
    <row r="278" spans="1:11" x14ac:dyDescent="0.2">
      <c r="A278" s="82">
        <f t="shared" si="62"/>
        <v>0</v>
      </c>
      <c r="B278" s="303" t="str">
        <f>IF(B$247=C$247,B$247*100,IF(C251=0,B$247*100&amp;"/0",IF(B251=0,"0/"&amp;C$247*100,B$247*100&amp;"/"&amp;C$247*100)))</f>
        <v>17.3/0</v>
      </c>
      <c r="C278" s="304"/>
      <c r="D278" s="305" t="str">
        <f t="shared" si="63"/>
        <v>17.8/0</v>
      </c>
      <c r="E278" s="306"/>
      <c r="F278" s="305" t="str">
        <f t="shared" si="64"/>
        <v>18.3/0</v>
      </c>
      <c r="G278" s="306"/>
      <c r="H278" s="305" t="str">
        <f t="shared" si="65"/>
        <v>18.8/0</v>
      </c>
      <c r="I278" s="306"/>
      <c r="J278" s="303" t="str">
        <f t="shared" si="66"/>
        <v>19.4/0</v>
      </c>
      <c r="K278" s="304"/>
    </row>
    <row r="279" spans="1:11" x14ac:dyDescent="0.2">
      <c r="A279" s="82">
        <f t="shared" si="62"/>
        <v>0</v>
      </c>
      <c r="B279" s="303" t="str">
        <f t="shared" ref="B279:B298" si="67">IF(B$247=C$247,B$247*100,IF(C252=0,B$247*100&amp;"/0",IF(B252=0,"0/"&amp;C$247*100,B$247*100&amp;"/"&amp;C$247*100)))</f>
        <v>17.3/0</v>
      </c>
      <c r="C279" s="304"/>
      <c r="D279" s="305" t="str">
        <f t="shared" si="63"/>
        <v>17.8/0</v>
      </c>
      <c r="E279" s="306"/>
      <c r="F279" s="305" t="str">
        <f t="shared" si="64"/>
        <v>18.3/0</v>
      </c>
      <c r="G279" s="306"/>
      <c r="H279" s="305" t="str">
        <f t="shared" si="65"/>
        <v>18.8/0</v>
      </c>
      <c r="I279" s="306"/>
      <c r="J279" s="303" t="str">
        <f t="shared" si="66"/>
        <v>19.4/0</v>
      </c>
      <c r="K279" s="304"/>
    </row>
    <row r="280" spans="1:11" x14ac:dyDescent="0.2">
      <c r="A280" s="82">
        <f t="shared" si="62"/>
        <v>0</v>
      </c>
      <c r="B280" s="303" t="str">
        <f t="shared" si="67"/>
        <v>17.3/0</v>
      </c>
      <c r="C280" s="304"/>
      <c r="D280" s="305" t="str">
        <f t="shared" si="63"/>
        <v>17.8/0</v>
      </c>
      <c r="E280" s="306"/>
      <c r="F280" s="305" t="str">
        <f t="shared" si="64"/>
        <v>18.3/0</v>
      </c>
      <c r="G280" s="306"/>
      <c r="H280" s="305" t="str">
        <f t="shared" si="65"/>
        <v>18.8/0</v>
      </c>
      <c r="I280" s="306"/>
      <c r="J280" s="303" t="str">
        <f t="shared" si="66"/>
        <v>19.4/0</v>
      </c>
      <c r="K280" s="304"/>
    </row>
    <row r="281" spans="1:11" x14ac:dyDescent="0.2">
      <c r="A281" s="82">
        <f t="shared" si="62"/>
        <v>0</v>
      </c>
      <c r="B281" s="303" t="str">
        <f t="shared" si="67"/>
        <v>17.3/0</v>
      </c>
      <c r="C281" s="304"/>
      <c r="D281" s="305" t="str">
        <f t="shared" si="63"/>
        <v>17.8/0</v>
      </c>
      <c r="E281" s="306"/>
      <c r="F281" s="305" t="str">
        <f t="shared" si="64"/>
        <v>18.3/0</v>
      </c>
      <c r="G281" s="306"/>
      <c r="H281" s="305" t="str">
        <f t="shared" si="65"/>
        <v>18.8/0</v>
      </c>
      <c r="I281" s="306"/>
      <c r="J281" s="303" t="str">
        <f t="shared" si="66"/>
        <v>19.4/0</v>
      </c>
      <c r="K281" s="304"/>
    </row>
    <row r="282" spans="1:11" x14ac:dyDescent="0.2">
      <c r="A282" s="82">
        <f t="shared" si="62"/>
        <v>0</v>
      </c>
      <c r="B282" s="303" t="str">
        <f t="shared" si="67"/>
        <v>17.3/0</v>
      </c>
      <c r="C282" s="304"/>
      <c r="D282" s="305" t="str">
        <f t="shared" si="63"/>
        <v>17.8/0</v>
      </c>
      <c r="E282" s="306"/>
      <c r="F282" s="305" t="str">
        <f t="shared" si="64"/>
        <v>18.3/0</v>
      </c>
      <c r="G282" s="306"/>
      <c r="H282" s="305" t="str">
        <f t="shared" si="65"/>
        <v>18.8/0</v>
      </c>
      <c r="I282" s="306"/>
      <c r="J282" s="303" t="str">
        <f t="shared" si="66"/>
        <v>19.4/0</v>
      </c>
      <c r="K282" s="304"/>
    </row>
    <row r="283" spans="1:11" x14ac:dyDescent="0.2">
      <c r="A283" s="82">
        <f t="shared" si="62"/>
        <v>0</v>
      </c>
      <c r="B283" s="303" t="str">
        <f t="shared" si="67"/>
        <v>17.3/0</v>
      </c>
      <c r="C283" s="304"/>
      <c r="D283" s="305" t="str">
        <f t="shared" si="63"/>
        <v>17.8/0</v>
      </c>
      <c r="E283" s="306"/>
      <c r="F283" s="305" t="str">
        <f t="shared" si="64"/>
        <v>18.3/0</v>
      </c>
      <c r="G283" s="306"/>
      <c r="H283" s="305" t="str">
        <f t="shared" si="65"/>
        <v>18.8/0</v>
      </c>
      <c r="I283" s="306"/>
      <c r="J283" s="303" t="str">
        <f t="shared" si="66"/>
        <v>19.4/0</v>
      </c>
      <c r="K283" s="304"/>
    </row>
    <row r="284" spans="1:11" x14ac:dyDescent="0.2">
      <c r="A284" s="82">
        <f t="shared" si="62"/>
        <v>0</v>
      </c>
      <c r="B284" s="303" t="str">
        <f t="shared" si="67"/>
        <v>17.3/0</v>
      </c>
      <c r="C284" s="304"/>
      <c r="D284" s="305" t="str">
        <f t="shared" si="63"/>
        <v>17.8/0</v>
      </c>
      <c r="E284" s="306"/>
      <c r="F284" s="305" t="str">
        <f t="shared" si="64"/>
        <v>18.3/0</v>
      </c>
      <c r="G284" s="306"/>
      <c r="H284" s="305" t="str">
        <f t="shared" si="65"/>
        <v>18.8/0</v>
      </c>
      <c r="I284" s="306"/>
      <c r="J284" s="303" t="str">
        <f t="shared" si="66"/>
        <v>19.4/0</v>
      </c>
      <c r="K284" s="304"/>
    </row>
    <row r="285" spans="1:11" x14ac:dyDescent="0.2">
      <c r="A285" s="82">
        <f t="shared" si="62"/>
        <v>0</v>
      </c>
      <c r="B285" s="303" t="str">
        <f t="shared" si="67"/>
        <v>17.3/0</v>
      </c>
      <c r="C285" s="304"/>
      <c r="D285" s="305" t="str">
        <f t="shared" si="63"/>
        <v>17.8/0</v>
      </c>
      <c r="E285" s="306"/>
      <c r="F285" s="305" t="str">
        <f t="shared" si="64"/>
        <v>18.3/0</v>
      </c>
      <c r="G285" s="306"/>
      <c r="H285" s="305" t="str">
        <f t="shared" si="65"/>
        <v>18.8/0</v>
      </c>
      <c r="I285" s="306"/>
      <c r="J285" s="303" t="str">
        <f t="shared" si="66"/>
        <v>19.4/0</v>
      </c>
      <c r="K285" s="304"/>
    </row>
    <row r="286" spans="1:11" x14ac:dyDescent="0.2">
      <c r="A286" s="82">
        <f t="shared" si="62"/>
        <v>0</v>
      </c>
      <c r="B286" s="303" t="str">
        <f t="shared" si="67"/>
        <v>17.3/0</v>
      </c>
      <c r="C286" s="304"/>
      <c r="D286" s="305" t="str">
        <f t="shared" si="63"/>
        <v>17.8/0</v>
      </c>
      <c r="E286" s="306"/>
      <c r="F286" s="305" t="str">
        <f t="shared" si="64"/>
        <v>18.3/0</v>
      </c>
      <c r="G286" s="306"/>
      <c r="H286" s="305" t="str">
        <f t="shared" si="65"/>
        <v>18.8/0</v>
      </c>
      <c r="I286" s="306"/>
      <c r="J286" s="303" t="str">
        <f t="shared" si="66"/>
        <v>19.4/0</v>
      </c>
      <c r="K286" s="304"/>
    </row>
    <row r="287" spans="1:11" x14ac:dyDescent="0.2">
      <c r="A287" s="82">
        <f t="shared" si="62"/>
        <v>0</v>
      </c>
      <c r="B287" s="303" t="str">
        <f t="shared" si="67"/>
        <v>17.3/0</v>
      </c>
      <c r="C287" s="304"/>
      <c r="D287" s="305" t="str">
        <f t="shared" si="63"/>
        <v>17.8/0</v>
      </c>
      <c r="E287" s="306"/>
      <c r="F287" s="305" t="str">
        <f t="shared" si="64"/>
        <v>18.3/0</v>
      </c>
      <c r="G287" s="306"/>
      <c r="H287" s="305" t="str">
        <f t="shared" si="65"/>
        <v>18.8/0</v>
      </c>
      <c r="I287" s="306"/>
      <c r="J287" s="303" t="str">
        <f t="shared" si="66"/>
        <v>19.4/0</v>
      </c>
      <c r="K287" s="304"/>
    </row>
    <row r="288" spans="1:11" x14ac:dyDescent="0.2">
      <c r="A288" s="82">
        <f t="shared" si="62"/>
        <v>0</v>
      </c>
      <c r="B288" s="303" t="str">
        <f t="shared" si="67"/>
        <v>17.3/0</v>
      </c>
      <c r="C288" s="304"/>
      <c r="D288" s="305" t="str">
        <f t="shared" si="63"/>
        <v>17.8/0</v>
      </c>
      <c r="E288" s="306"/>
      <c r="F288" s="305" t="str">
        <f t="shared" si="64"/>
        <v>18.3/0</v>
      </c>
      <c r="G288" s="306"/>
      <c r="H288" s="305" t="str">
        <f t="shared" si="65"/>
        <v>18.8/0</v>
      </c>
      <c r="I288" s="306"/>
      <c r="J288" s="303" t="str">
        <f t="shared" si="66"/>
        <v>19.4/0</v>
      </c>
      <c r="K288" s="304"/>
    </row>
    <row r="289" spans="1:11" x14ac:dyDescent="0.2">
      <c r="A289" s="82">
        <f t="shared" si="62"/>
        <v>0</v>
      </c>
      <c r="B289" s="303" t="str">
        <f t="shared" si="67"/>
        <v>17.3/0</v>
      </c>
      <c r="C289" s="304"/>
      <c r="D289" s="305" t="str">
        <f t="shared" si="63"/>
        <v>17.8/0</v>
      </c>
      <c r="E289" s="306"/>
      <c r="F289" s="305" t="str">
        <f t="shared" si="64"/>
        <v>18.3/0</v>
      </c>
      <c r="G289" s="306"/>
      <c r="H289" s="305" t="str">
        <f t="shared" si="65"/>
        <v>18.8/0</v>
      </c>
      <c r="I289" s="306"/>
      <c r="J289" s="303" t="str">
        <f t="shared" si="66"/>
        <v>19.4/0</v>
      </c>
      <c r="K289" s="304"/>
    </row>
    <row r="290" spans="1:11" x14ac:dyDescent="0.2">
      <c r="A290" s="82">
        <f t="shared" si="62"/>
        <v>0</v>
      </c>
      <c r="B290" s="303" t="str">
        <f t="shared" si="67"/>
        <v>17.3/0</v>
      </c>
      <c r="C290" s="304"/>
      <c r="D290" s="305" t="str">
        <f t="shared" si="63"/>
        <v>17.8/0</v>
      </c>
      <c r="E290" s="306"/>
      <c r="F290" s="305" t="str">
        <f t="shared" si="64"/>
        <v>18.3/0</v>
      </c>
      <c r="G290" s="306"/>
      <c r="H290" s="305" t="str">
        <f t="shared" si="65"/>
        <v>18.8/0</v>
      </c>
      <c r="I290" s="306"/>
      <c r="J290" s="303" t="str">
        <f t="shared" si="66"/>
        <v>19.4/0</v>
      </c>
      <c r="K290" s="304"/>
    </row>
    <row r="291" spans="1:11" x14ac:dyDescent="0.2">
      <c r="A291" s="82">
        <f t="shared" si="62"/>
        <v>0</v>
      </c>
      <c r="B291" s="303" t="str">
        <f t="shared" si="67"/>
        <v>17.3/0</v>
      </c>
      <c r="C291" s="304"/>
      <c r="D291" s="305" t="str">
        <f t="shared" si="63"/>
        <v>17.8/0</v>
      </c>
      <c r="E291" s="306"/>
      <c r="F291" s="305" t="str">
        <f t="shared" si="64"/>
        <v>18.3/0</v>
      </c>
      <c r="G291" s="306"/>
      <c r="H291" s="305" t="str">
        <f t="shared" si="65"/>
        <v>18.8/0</v>
      </c>
      <c r="I291" s="306"/>
      <c r="J291" s="303" t="str">
        <f t="shared" si="66"/>
        <v>19.4/0</v>
      </c>
      <c r="K291" s="304"/>
    </row>
    <row r="292" spans="1:11" x14ac:dyDescent="0.2">
      <c r="A292" s="82">
        <f t="shared" si="62"/>
        <v>0</v>
      </c>
      <c r="B292" s="303" t="str">
        <f t="shared" si="67"/>
        <v>17.3/0</v>
      </c>
      <c r="C292" s="304"/>
      <c r="D292" s="305" t="str">
        <f t="shared" si="63"/>
        <v>17.8/0</v>
      </c>
      <c r="E292" s="306"/>
      <c r="F292" s="305" t="str">
        <f t="shared" si="64"/>
        <v>18.3/0</v>
      </c>
      <c r="G292" s="306"/>
      <c r="H292" s="305" t="str">
        <f t="shared" si="65"/>
        <v>18.8/0</v>
      </c>
      <c r="I292" s="306"/>
      <c r="J292" s="303" t="str">
        <f t="shared" si="66"/>
        <v>19.4/0</v>
      </c>
      <c r="K292" s="304"/>
    </row>
    <row r="293" spans="1:11" x14ac:dyDescent="0.2">
      <c r="A293" s="82">
        <f t="shared" si="62"/>
        <v>0</v>
      </c>
      <c r="B293" s="303" t="str">
        <f t="shared" si="67"/>
        <v>17.3/0</v>
      </c>
      <c r="C293" s="304"/>
      <c r="D293" s="305" t="str">
        <f t="shared" si="63"/>
        <v>17.8/0</v>
      </c>
      <c r="E293" s="306"/>
      <c r="F293" s="305" t="str">
        <f t="shared" si="64"/>
        <v>18.3/0</v>
      </c>
      <c r="G293" s="306"/>
      <c r="H293" s="305" t="str">
        <f t="shared" si="65"/>
        <v>18.8/0</v>
      </c>
      <c r="I293" s="306"/>
      <c r="J293" s="303" t="str">
        <f t="shared" si="66"/>
        <v>19.4/0</v>
      </c>
      <c r="K293" s="304"/>
    </row>
    <row r="294" spans="1:11" x14ac:dyDescent="0.2">
      <c r="A294" s="82">
        <f t="shared" si="62"/>
        <v>0</v>
      </c>
      <c r="B294" s="303" t="str">
        <f t="shared" si="67"/>
        <v>17.3/0</v>
      </c>
      <c r="C294" s="304"/>
      <c r="D294" s="305" t="str">
        <f t="shared" si="63"/>
        <v>17.8/0</v>
      </c>
      <c r="E294" s="306"/>
      <c r="F294" s="305" t="str">
        <f t="shared" si="64"/>
        <v>18.3/0</v>
      </c>
      <c r="G294" s="306"/>
      <c r="H294" s="305" t="str">
        <f t="shared" si="65"/>
        <v>18.8/0</v>
      </c>
      <c r="I294" s="306"/>
      <c r="J294" s="303" t="str">
        <f t="shared" si="66"/>
        <v>19.4/0</v>
      </c>
      <c r="K294" s="304"/>
    </row>
    <row r="295" spans="1:11" x14ac:dyDescent="0.2">
      <c r="A295" s="82">
        <f t="shared" si="62"/>
        <v>0</v>
      </c>
      <c r="B295" s="303" t="str">
        <f t="shared" si="67"/>
        <v>17.3/0</v>
      </c>
      <c r="C295" s="304"/>
      <c r="D295" s="305" t="str">
        <f t="shared" si="63"/>
        <v>17.8/0</v>
      </c>
      <c r="E295" s="306"/>
      <c r="F295" s="305" t="str">
        <f t="shared" si="64"/>
        <v>18.3/0</v>
      </c>
      <c r="G295" s="306"/>
      <c r="H295" s="305" t="str">
        <f t="shared" si="65"/>
        <v>18.8/0</v>
      </c>
      <c r="I295" s="306"/>
      <c r="J295" s="303" t="str">
        <f t="shared" si="66"/>
        <v>19.4/0</v>
      </c>
      <c r="K295" s="304"/>
    </row>
    <row r="296" spans="1:11" x14ac:dyDescent="0.2">
      <c r="A296" s="82">
        <f t="shared" si="62"/>
        <v>0</v>
      </c>
      <c r="B296" s="303" t="str">
        <f t="shared" si="67"/>
        <v>17.3/0</v>
      </c>
      <c r="C296" s="304"/>
      <c r="D296" s="305" t="str">
        <f t="shared" si="63"/>
        <v>17.8/0</v>
      </c>
      <c r="E296" s="306"/>
      <c r="F296" s="305" t="str">
        <f t="shared" si="64"/>
        <v>18.3/0</v>
      </c>
      <c r="G296" s="306"/>
      <c r="H296" s="305" t="str">
        <f t="shared" si="65"/>
        <v>18.8/0</v>
      </c>
      <c r="I296" s="306"/>
      <c r="J296" s="303" t="str">
        <f t="shared" si="66"/>
        <v>19.4/0</v>
      </c>
      <c r="K296" s="304"/>
    </row>
    <row r="297" spans="1:11" x14ac:dyDescent="0.2">
      <c r="A297" s="82">
        <f t="shared" si="62"/>
        <v>0</v>
      </c>
      <c r="B297" s="303" t="str">
        <f t="shared" si="67"/>
        <v>17.3/0</v>
      </c>
      <c r="C297" s="304"/>
      <c r="D297" s="305" t="str">
        <f t="shared" si="63"/>
        <v>17.8/0</v>
      </c>
      <c r="E297" s="306"/>
      <c r="F297" s="305" t="str">
        <f t="shared" si="64"/>
        <v>18.3/0</v>
      </c>
      <c r="G297" s="306"/>
      <c r="H297" s="305" t="str">
        <f t="shared" si="65"/>
        <v>18.8/0</v>
      </c>
      <c r="I297" s="306"/>
      <c r="J297" s="303" t="str">
        <f t="shared" si="66"/>
        <v>19.4/0</v>
      </c>
      <c r="K297" s="304"/>
    </row>
    <row r="298" spans="1:11" x14ac:dyDescent="0.2">
      <c r="A298" s="82">
        <f t="shared" si="62"/>
        <v>0</v>
      </c>
      <c r="B298" s="303" t="str">
        <f t="shared" si="67"/>
        <v>17.3/0</v>
      </c>
      <c r="C298" s="304"/>
      <c r="D298" s="305" t="str">
        <f t="shared" si="63"/>
        <v>17.8/0</v>
      </c>
      <c r="E298" s="306"/>
      <c r="F298" s="305" t="str">
        <f t="shared" si="64"/>
        <v>18.3/0</v>
      </c>
      <c r="G298" s="306"/>
      <c r="H298" s="305" t="str">
        <f t="shared" si="65"/>
        <v>18.8/0</v>
      </c>
      <c r="I298" s="306"/>
      <c r="J298" s="303" t="str">
        <f t="shared" si="66"/>
        <v>19.4/0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>
        <f>A275</f>
        <v>0</v>
      </c>
      <c r="B301" s="302" t="e">
        <f ca="1">ROUND('R10'!N8/'W10'!H177*'W10'!B248*'W10'!$B$247+'R10'!N8/'W10'!H177*'W10'!C248*'W10'!C247,0)</f>
        <v>#DIV/0!</v>
      </c>
      <c r="C301" s="300"/>
      <c r="D301" s="302" t="e">
        <f ca="1">ROUND('R10'!O8/(D248+E248)*'W10'!D248*'W10'!D$247+'R10'!O8/(D248+E248)*'W10'!E248*'W10'!E$247,0)</f>
        <v>#DIV/0!</v>
      </c>
      <c r="E301" s="300"/>
      <c r="F301" s="302" t="e">
        <f ca="1">ROUND('R10'!P8/(F248+G248)*'W10'!F248*'W10'!F$247+'R10'!P8/(F248+G248)*'W10'!G248*'W10'!G$247,0)</f>
        <v>#DIV/0!</v>
      </c>
      <c r="G301" s="300"/>
      <c r="H301" s="302" t="e">
        <f ca="1">ROUND('R10'!Q8/(H248+I248)*'W10'!H248*'W10'!H$247+'R10'!Q8/(H248+I248)*'W10'!I248*'W10'!I$247,0)</f>
        <v>#DIV/0!</v>
      </c>
      <c r="I301" s="300"/>
      <c r="J301" s="302" t="e">
        <f ca="1">IF(J275=0,"",ROUND('R10'!R8/(J248+K248)*'W10'!J248*'W10'!J$247+'R10'!R8/(J248+K248)*'W10'!K248*'W10'!K$247,0))</f>
        <v>#DIV/0!</v>
      </c>
      <c r="K301" s="300"/>
    </row>
    <row r="302" spans="1:11" x14ac:dyDescent="0.2">
      <c r="A302" s="82">
        <f t="shared" ref="A302:A324" si="68">A276</f>
        <v>0</v>
      </c>
      <c r="B302" s="302" t="e">
        <f ca="1">ROUND('R10'!N9/'W10'!H178*'W10'!B249*'W10'!$B$247+'R10'!N9/'W10'!H178*'W10'!C249*'W10'!$C$247,0)</f>
        <v>#DIV/0!</v>
      </c>
      <c r="C302" s="300"/>
      <c r="D302" s="302" t="e">
        <f ca="1">ROUND('R10'!O9/(D249+E249)*'W10'!D249*'W10'!D$247+'R10'!O9/(D249+E249)*'W10'!E249*'W10'!E$247,0)</f>
        <v>#DIV/0!</v>
      </c>
      <c r="E302" s="300"/>
      <c r="F302" s="302" t="e">
        <f ca="1">ROUND('R10'!P9/(F249+G249)*'W10'!F249*'W10'!F$247+'R10'!P9/(F249+G249)*'W10'!G249*'W10'!G$247,0)</f>
        <v>#DIV/0!</v>
      </c>
      <c r="G302" s="300"/>
      <c r="H302" s="302" t="e">
        <f ca="1">ROUND('R10'!Q9/(H249+I249)*'W10'!H249*'W10'!H$247+'R10'!Q9/(H249+I249)*'W10'!I249*'W10'!I$247,0)</f>
        <v>#DIV/0!</v>
      </c>
      <c r="I302" s="300"/>
      <c r="J302" s="302" t="e">
        <f ca="1">IF(J276=0,"",ROUND('R10'!R9/(J249+K249)*'W10'!J249*'W10'!J$247+'R10'!R9/(J249+K249)*'W10'!K249*'W10'!K$247,0))</f>
        <v>#DIV/0!</v>
      </c>
      <c r="K302" s="300"/>
    </row>
    <row r="303" spans="1:11" x14ac:dyDescent="0.2">
      <c r="A303" s="82">
        <f t="shared" si="68"/>
        <v>0</v>
      </c>
      <c r="B303" s="302" t="e">
        <f ca="1">ROUND('R10'!N10/'W10'!H179*'W10'!B250*'W10'!$B$247+'R10'!N10/'W10'!H179*'W10'!C250*'W10'!$C$247,0)</f>
        <v>#DIV/0!</v>
      </c>
      <c r="C303" s="300"/>
      <c r="D303" s="302" t="e">
        <f ca="1">ROUND('R10'!O10/(D250+E250)*'W10'!D250*'W10'!D$247+'R10'!O10/(D250+E250)*'W10'!E250*'W10'!E$247,0)</f>
        <v>#DIV/0!</v>
      </c>
      <c r="E303" s="300"/>
      <c r="F303" s="302" t="e">
        <f ca="1">ROUND('R10'!P10/(F250+G250)*'W10'!F250*'W10'!F$247+'R10'!P10/(F250+G250)*'W10'!G250*'W10'!G$247,0)</f>
        <v>#DIV/0!</v>
      </c>
      <c r="G303" s="300"/>
      <c r="H303" s="302" t="e">
        <f ca="1">ROUND('R10'!Q10/(H250+I250)*'W10'!H250*'W10'!H$247+'R10'!Q10/(H250+I250)*'W10'!I250*'W10'!I$247,0)</f>
        <v>#DIV/0!</v>
      </c>
      <c r="I303" s="300"/>
      <c r="J303" s="302" t="e">
        <f ca="1">IF(J277=0,"",ROUND('R10'!R10/(J250+K250)*'W10'!J250*'W10'!J$247+'R10'!R10/(J250+K250)*'W10'!K250*'W10'!K$247,0))</f>
        <v>#DIV/0!</v>
      </c>
      <c r="K303" s="300"/>
    </row>
    <row r="304" spans="1:11" x14ac:dyDescent="0.2">
      <c r="A304" s="82">
        <f t="shared" si="68"/>
        <v>0</v>
      </c>
      <c r="B304" s="302" t="e">
        <f ca="1">ROUND('R10'!N11/'W10'!H180*'W10'!B251*'W10'!$B$247+'R10'!N11/'W10'!H180*'W10'!C251*'W10'!$C$247,0)</f>
        <v>#DIV/0!</v>
      </c>
      <c r="C304" s="300"/>
      <c r="D304" s="302" t="e">
        <f ca="1">ROUND('R10'!O11/(D251+E251)*'W10'!D251*'W10'!D$247+'R10'!O11/(D251+E251)*'W10'!E251*'W10'!E$247,0)</f>
        <v>#DIV/0!</v>
      </c>
      <c r="E304" s="300"/>
      <c r="F304" s="302" t="e">
        <f ca="1">ROUND('R10'!P11/(F251+G251)*'W10'!F251*'W10'!F$247+'R10'!P11/(F251+G251)*'W10'!G251*'W10'!G$247,0)</f>
        <v>#DIV/0!</v>
      </c>
      <c r="G304" s="300"/>
      <c r="H304" s="302" t="e">
        <f ca="1">ROUND('R10'!Q11/(H251+I251)*'W10'!H251*'W10'!H$247+'R10'!Q11/(H251+I251)*'W10'!I251*'W10'!I$247,0)</f>
        <v>#DIV/0!</v>
      </c>
      <c r="I304" s="300"/>
      <c r="J304" s="302" t="e">
        <f ca="1">IF(J278=0,"",ROUND('R10'!R11/(J251+K251)*'W10'!J251*'W10'!J$247+'R10'!R11/(J251+K251)*'W10'!K251*'W10'!K$247,0))</f>
        <v>#DIV/0!</v>
      </c>
      <c r="K304" s="300"/>
    </row>
    <row r="305" spans="1:12" x14ac:dyDescent="0.2">
      <c r="A305" s="82">
        <f t="shared" si="68"/>
        <v>0</v>
      </c>
      <c r="B305" s="302">
        <f>IF((B252+C252)&lt;&gt;0,ROUND('R10'!N12/'W10'!H181*'W10'!B252*'W10'!$B$247+'R10'!N12/'W10'!H181*'W10'!C252*'W10'!$C$247,0),0)</f>
        <v>0</v>
      </c>
      <c r="C305" s="300"/>
      <c r="D305" s="302" t="e">
        <f ca="1">ROUND('R10'!O12/(D252+E252)*'W10'!D252*'W10'!D$247+'R10'!O12/(D252+E252)*'W10'!E252*'W10'!E$247,0)</f>
        <v>#DIV/0!</v>
      </c>
      <c r="E305" s="300"/>
      <c r="F305" s="302" t="e">
        <f ca="1">ROUND('R10'!P12/(F252+G252)*'W10'!F252*'W10'!F$247+'R10'!P12/(F252+G252)*'W10'!G252*'W10'!G$247,0)</f>
        <v>#DIV/0!</v>
      </c>
      <c r="G305" s="300"/>
      <c r="H305" s="302" t="e">
        <f ca="1">ROUND('R10'!Q12/(H252+I252)*'W10'!H252*'W10'!H$247+'R10'!Q12/(H252+I252)*'W10'!I252*'W10'!I$247,0)</f>
        <v>#DIV/0!</v>
      </c>
      <c r="I305" s="300"/>
      <c r="J305" s="302" t="e">
        <f ca="1">IF(J279=0,"",ROUND('R10'!R12/(J252+K252)*'W10'!J252*'W10'!J$247+'R10'!R12/(J252+K252)*'W10'!K252*'W10'!K$247,0))</f>
        <v>#DIV/0!</v>
      </c>
      <c r="K305" s="300"/>
      <c r="L305" s="17"/>
    </row>
    <row r="306" spans="1:12" x14ac:dyDescent="0.2">
      <c r="A306" s="82">
        <f t="shared" si="68"/>
        <v>0</v>
      </c>
      <c r="B306" s="302">
        <f>IF((B253+C253)&lt;&gt;0,ROUND('R10'!N13/'W10'!H182*'W10'!B253*'W10'!$B$247+'R10'!N13/'W10'!H182*'W10'!C253*'W10'!$C$247,0),0)</f>
        <v>0</v>
      </c>
      <c r="C306" s="300"/>
      <c r="D306" s="302" t="e">
        <f ca="1">ROUND('R10'!O13/(D253+E253)*'W10'!D253*'W10'!D$247+'R10'!O13/(D253+E253)*'W10'!E253*'W10'!E$247,0)</f>
        <v>#DIV/0!</v>
      </c>
      <c r="E306" s="300"/>
      <c r="F306" s="302" t="e">
        <f ca="1">ROUND('R10'!P13/(F253+G253)*'W10'!F253*'W10'!F$247+'R10'!P13/(F253+G253)*'W10'!G253*'W10'!G$247,0)</f>
        <v>#DIV/0!</v>
      </c>
      <c r="G306" s="300"/>
      <c r="H306" s="302" t="e">
        <f ca="1">ROUND('R10'!Q13/(H253+I253)*'W10'!H253*'W10'!H$247+'R10'!Q13/(H253+I253)*'W10'!I253*'W10'!I$247,0)</f>
        <v>#DIV/0!</v>
      </c>
      <c r="I306" s="300"/>
      <c r="J306" s="302" t="e">
        <f ca="1">IF(J280=0,"",ROUND('R10'!R13/(J253+K253)*'W10'!J253*'W10'!J$247+'R10'!R13/(J253+K253)*'W10'!K253*'W10'!K$247,0))</f>
        <v>#DIV/0!</v>
      </c>
      <c r="K306" s="300"/>
    </row>
    <row r="307" spans="1:12" x14ac:dyDescent="0.2">
      <c r="A307" s="82">
        <f t="shared" si="68"/>
        <v>0</v>
      </c>
      <c r="B307" s="302">
        <f>IF((B254+C254)&lt;&gt;0,ROUND('R10'!N14/'W10'!H183*'W10'!B254*'W10'!$B$247+'R10'!N14/'W10'!H183*'W10'!C254*'W10'!$C$247,0),0)</f>
        <v>0</v>
      </c>
      <c r="C307" s="300"/>
      <c r="D307" s="302" t="e">
        <f ca="1">ROUND('R10'!O14/(D254+E254)*'W10'!D254*'W10'!D$247+'R10'!O14/(D254+E254)*'W10'!E254*'W10'!E$247,0)</f>
        <v>#DIV/0!</v>
      </c>
      <c r="E307" s="300"/>
      <c r="F307" s="302" t="e">
        <f ca="1">ROUND('R10'!P14/(F254+G254)*'W10'!F254*'W10'!F$247+'R10'!P14/(F254+G254)*'W10'!G254*'W10'!G$247,0)</f>
        <v>#DIV/0!</v>
      </c>
      <c r="G307" s="300"/>
      <c r="H307" s="302" t="e">
        <f ca="1">ROUND('R10'!Q14/(H254+I254)*'W10'!H254*'W10'!H$247+'R10'!Q14/(H254+I254)*'W10'!I254*'W10'!I$247,0)</f>
        <v>#DIV/0!</v>
      </c>
      <c r="I307" s="300"/>
      <c r="J307" s="302" t="e">
        <f ca="1">IF(J281=0,"",ROUND('R10'!R14/(J254+K254)*'W10'!J254*'W10'!J$247+'R10'!R14/(J254+K254)*'W10'!K254*'W10'!K$247,0))</f>
        <v>#DIV/0!</v>
      </c>
      <c r="K307" s="300"/>
    </row>
    <row r="308" spans="1:12" x14ac:dyDescent="0.2">
      <c r="A308" s="82">
        <f t="shared" si="68"/>
        <v>0</v>
      </c>
      <c r="B308" s="302">
        <f>IF((B255+C255)&lt;&gt;0,ROUND('R10'!N15/'W10'!H184*'W10'!B255*'W10'!$B$247+'R10'!N15/'W10'!H184*'W10'!C255*'W10'!$C$247,0),0)</f>
        <v>0</v>
      </c>
      <c r="C308" s="300"/>
      <c r="D308" s="302" t="e">
        <f ca="1">ROUND('R10'!O15/(D255+E255)*'W10'!D255*'W10'!D$247+'R10'!O15/(D255+E255)*'W10'!E255*'W10'!E$247,0)</f>
        <v>#DIV/0!</v>
      </c>
      <c r="E308" s="300"/>
      <c r="F308" s="302" t="e">
        <f ca="1">ROUND('R10'!P15/(F255+G255)*'W10'!F255*'W10'!F$247+'R10'!P15/(F255+G255)*'W10'!G255*'W10'!G$247,0)</f>
        <v>#DIV/0!</v>
      </c>
      <c r="G308" s="300"/>
      <c r="H308" s="302" t="e">
        <f ca="1">ROUND('R10'!Q15/(H255+I255)*'W10'!H255*'W10'!H$247+'R10'!Q15/(H255+I255)*'W10'!I255*'W10'!I$247,0)</f>
        <v>#DIV/0!</v>
      </c>
      <c r="I308" s="300"/>
      <c r="J308" s="302" t="e">
        <f ca="1">IF(J282=0,"",ROUND('R10'!R15/(J255+K255)*'W10'!J255*'W10'!J$247+'R10'!R15/(J255+K255)*'W10'!K255*'W10'!K$247,0))</f>
        <v>#DIV/0!</v>
      </c>
      <c r="K308" s="300"/>
    </row>
    <row r="309" spans="1:12" x14ac:dyDescent="0.2">
      <c r="A309" s="82">
        <f t="shared" si="68"/>
        <v>0</v>
      </c>
      <c r="B309" s="302">
        <f>IF((B256+C256)&lt;&gt;0,ROUND('R10'!N16/'W10'!H185*'W10'!B256*'W10'!$B$247+'R10'!N16/'W10'!H185*'W10'!C256*'W10'!$C$247,0),0)</f>
        <v>0</v>
      </c>
      <c r="C309" s="300"/>
      <c r="D309" s="302" t="e">
        <f ca="1">ROUND('R10'!O16/(D256+E256)*'W10'!D256*'W10'!D$247+'R10'!O16/(D256+E256)*'W10'!E256*'W10'!E$247,0)</f>
        <v>#DIV/0!</v>
      </c>
      <c r="E309" s="300"/>
      <c r="F309" s="302" t="e">
        <f ca="1">ROUND('R10'!P16/(F256+G256)*'W10'!F256*'W10'!F$247+'R10'!P16/(F256+G256)*'W10'!G256*'W10'!G$247,0)</f>
        <v>#DIV/0!</v>
      </c>
      <c r="G309" s="300"/>
      <c r="H309" s="302" t="e">
        <f ca="1">ROUND('R10'!Q16/(H256+I256)*'W10'!H256*'W10'!H$247+'R10'!Q16/(H256+I256)*'W10'!I256*'W10'!I$247,0)</f>
        <v>#DIV/0!</v>
      </c>
      <c r="I309" s="300"/>
      <c r="J309" s="302" t="e">
        <f ca="1">IF(J283=0,"",ROUND('R10'!R16/(J256+K256)*'W10'!J256*'W10'!J$247+'R10'!R16/(J256+K256)*'W10'!K256*'W10'!K$247,0))</f>
        <v>#DIV/0!</v>
      </c>
      <c r="K309" s="300"/>
    </row>
    <row r="310" spans="1:12" x14ac:dyDescent="0.2">
      <c r="A310" s="82">
        <f t="shared" si="68"/>
        <v>0</v>
      </c>
      <c r="B310" s="302">
        <f>IF((B257+C257)&lt;&gt;0,ROUND('R10'!N17/'W10'!H186*'W10'!B257*'W10'!$B$247+'R10'!N17/'W10'!H186*'W10'!C257*'W10'!$C$247,0),0)</f>
        <v>0</v>
      </c>
      <c r="C310" s="300"/>
      <c r="D310" s="302" t="e">
        <f ca="1">ROUND('R10'!O17/(D257+E257)*'W10'!D257*'W10'!D$247+'R10'!O17/(D257+E257)*'W10'!E257*'W10'!E$247,0)</f>
        <v>#DIV/0!</v>
      </c>
      <c r="E310" s="300"/>
      <c r="F310" s="302" t="e">
        <f ca="1">ROUND('R10'!P17/(F257+G257)*'W10'!F257*'W10'!F$247+'R10'!P17/(F257+G257)*'W10'!G257*'W10'!G$247,0)</f>
        <v>#DIV/0!</v>
      </c>
      <c r="G310" s="300"/>
      <c r="H310" s="302" t="e">
        <f ca="1">ROUND('R10'!Q17/(H257+I257)*'W10'!H257*'W10'!H$247+'R10'!Q17/(H257+I257)*'W10'!I257*'W10'!I$247,0)</f>
        <v>#DIV/0!</v>
      </c>
      <c r="I310" s="300"/>
      <c r="J310" s="302" t="e">
        <f ca="1">IF(J284=0,"",ROUND('R10'!R17/(J257+K257)*'W10'!J257*'W10'!J$247+'R10'!R17/(J257+K257)*'W10'!K257*'W10'!K$247,0))</f>
        <v>#DIV/0!</v>
      </c>
      <c r="K310" s="300"/>
    </row>
    <row r="311" spans="1:12" x14ac:dyDescent="0.2">
      <c r="A311" s="82">
        <f t="shared" si="68"/>
        <v>0</v>
      </c>
      <c r="B311" s="302">
        <f>IF((B258+C258)&lt;&gt;0,ROUND('R10'!N18/'W10'!H187*'W10'!B258*'W10'!$B$247+'R10'!N18/'W10'!H187*'W10'!C258*'W10'!$C$247,0),0)</f>
        <v>0</v>
      </c>
      <c r="C311" s="300"/>
      <c r="D311" s="302" t="e">
        <f ca="1">ROUND('R10'!O18/(D258+E258)*'W10'!D258*'W10'!D$247+'R10'!O18/(D258+E258)*'W10'!E258*'W10'!E$247,0)</f>
        <v>#DIV/0!</v>
      </c>
      <c r="E311" s="300"/>
      <c r="F311" s="302" t="e">
        <f ca="1">ROUND('R10'!P18/(F258+G258)*'W10'!F258*'W10'!F$247+'R10'!P18/(F258+G258)*'W10'!G258*'W10'!G$247,0)</f>
        <v>#DIV/0!</v>
      </c>
      <c r="G311" s="300"/>
      <c r="H311" s="302" t="e">
        <f ca="1">ROUND('R10'!Q18/(H258+I258)*'W10'!H258*'W10'!H$247+'R10'!Q18/(H258+I258)*'W10'!I258*'W10'!I$247,0)</f>
        <v>#DIV/0!</v>
      </c>
      <c r="I311" s="300"/>
      <c r="J311" s="302" t="e">
        <f ca="1">IF(J285=0,"",ROUND('R10'!R18/(J258+K258)*'W10'!J258*'W10'!J$247+'R10'!R18/(J258+K258)*'W10'!K258*'W10'!K$247,0))</f>
        <v>#DIV/0!</v>
      </c>
      <c r="K311" s="300"/>
    </row>
    <row r="312" spans="1:12" x14ac:dyDescent="0.2">
      <c r="A312" s="82">
        <f t="shared" si="68"/>
        <v>0</v>
      </c>
      <c r="B312" s="302">
        <f>IF((B259+C259)&lt;&gt;0,ROUND('R10'!N19/'W10'!H188*'W10'!B259*'W10'!$B$247+'R10'!N19/'W10'!H188*'W10'!C259*'W10'!$C$247,0),0)</f>
        <v>0</v>
      </c>
      <c r="C312" s="300"/>
      <c r="D312" s="302" t="e">
        <f ca="1">ROUND('R10'!O19/(D259+E259)*'W10'!D259*'W10'!D$247+'R10'!O19/(D259+E259)*'W10'!E259*'W10'!E$247,0)</f>
        <v>#DIV/0!</v>
      </c>
      <c r="E312" s="300"/>
      <c r="F312" s="302" t="e">
        <f ca="1">ROUND('R10'!P19/(F259+G259)*'W10'!F259*'W10'!F$247+'R10'!P19/(F259+G259)*'W10'!G259*'W10'!G$247,0)</f>
        <v>#DIV/0!</v>
      </c>
      <c r="G312" s="300"/>
      <c r="H312" s="302" t="e">
        <f ca="1">ROUND('R10'!Q19/(H259+I259)*'W10'!H259*'W10'!H$247+'R10'!Q19/(H259+I259)*'W10'!I259*'W10'!I$247,0)</f>
        <v>#DIV/0!</v>
      </c>
      <c r="I312" s="300"/>
      <c r="J312" s="302" t="e">
        <f ca="1">IF(J286=0,"",ROUND('R10'!R19/(J259+K259)*'W10'!J259*'W10'!J$247+'R10'!R19/(J259+K259)*'W10'!K259*'W10'!K$247,0))</f>
        <v>#DIV/0!</v>
      </c>
      <c r="K312" s="300"/>
    </row>
    <row r="313" spans="1:12" x14ac:dyDescent="0.2">
      <c r="A313" s="82">
        <f t="shared" si="68"/>
        <v>0</v>
      </c>
      <c r="B313" s="302">
        <f>IF((B260+C260)&lt;&gt;0,ROUND('R10'!N20/'W10'!H189*'W10'!B260*'W10'!$B$247+'R10'!N20/'W10'!H189*'W10'!C260*'W10'!$C$247,0),0)</f>
        <v>0</v>
      </c>
      <c r="C313" s="300"/>
      <c r="D313" s="302" t="e">
        <f ca="1">ROUND('R10'!O20/(D260+E260)*'W10'!D260*'W10'!D$247+'R10'!O20/(D260+E260)*'W10'!E260*'W10'!E$247,0)</f>
        <v>#DIV/0!</v>
      </c>
      <c r="E313" s="300"/>
      <c r="F313" s="302" t="e">
        <f ca="1">ROUND('R10'!P20/(F260+G260)*'W10'!F260*'W10'!F$247+'R10'!P20/(F260+G260)*'W10'!G260*'W10'!G$247,0)</f>
        <v>#DIV/0!</v>
      </c>
      <c r="G313" s="300"/>
      <c r="H313" s="302" t="e">
        <f ca="1">ROUND('R10'!Q20/(H260+I260)*'W10'!H260*'W10'!H$247+'R10'!Q20/(H260+I260)*'W10'!I260*'W10'!I$247,0)</f>
        <v>#DIV/0!</v>
      </c>
      <c r="I313" s="300"/>
      <c r="J313" s="302" t="e">
        <f ca="1">IF(J287=0,"",ROUND('R10'!R20/(J260+K260)*'W10'!J260*'W10'!J$247+'R10'!R20/(J260+K260)*'W10'!K260*'W10'!K$247,0))</f>
        <v>#DIV/0!</v>
      </c>
      <c r="K313" s="300"/>
    </row>
    <row r="314" spans="1:12" x14ac:dyDescent="0.2">
      <c r="A314" s="82">
        <f t="shared" si="68"/>
        <v>0</v>
      </c>
      <c r="B314" s="302">
        <f>IF((B261+C261)&lt;&gt;0,ROUND('R10'!N21/'W10'!H190*'W10'!B261*'W10'!$B$247+'R10'!N21/'W10'!H190*'W10'!C261*'W10'!$C$247,0),0)</f>
        <v>0</v>
      </c>
      <c r="C314" s="300"/>
      <c r="D314" s="302" t="e">
        <f ca="1">ROUND('R10'!O21/(D261+E261)*'W10'!D261*'W10'!D$247+'R10'!O21/(D261+E261)*'W10'!E261*'W10'!E$247,0)</f>
        <v>#DIV/0!</v>
      </c>
      <c r="E314" s="300"/>
      <c r="F314" s="302" t="e">
        <f ca="1">ROUND('R10'!P21/(F261+G261)*'W10'!F261*'W10'!F$247+'R10'!P21/(F261+G261)*'W10'!G261*'W10'!G$247,0)</f>
        <v>#DIV/0!</v>
      </c>
      <c r="G314" s="300"/>
      <c r="H314" s="302" t="e">
        <f ca="1">ROUND('R10'!Q21/(H261+I261)*'W10'!H261*'W10'!H$247+'R10'!Q21/(H261+I261)*'W10'!I261*'W10'!I$247,0)</f>
        <v>#DIV/0!</v>
      </c>
      <c r="I314" s="300"/>
      <c r="J314" s="302" t="e">
        <f ca="1">IF(J288=0,"",ROUND('R10'!R21/(J261+K261)*'W10'!J261*'W10'!J$247+'R10'!R21/(J261+K261)*'W10'!K261*'W10'!K$247,0))</f>
        <v>#DIV/0!</v>
      </c>
      <c r="K314" s="300"/>
    </row>
    <row r="315" spans="1:12" x14ac:dyDescent="0.2">
      <c r="A315" s="82">
        <f t="shared" si="68"/>
        <v>0</v>
      </c>
      <c r="B315" s="302">
        <f>IF((B262+C262)&lt;&gt;0,ROUND('R10'!N22/'W10'!H191*'W10'!B262*'W10'!$B$247+'R10'!N22/'W10'!H191*'W10'!C262*'W10'!$C$247,0),0)</f>
        <v>0</v>
      </c>
      <c r="C315" s="300"/>
      <c r="D315" s="302" t="e">
        <f ca="1">ROUND('R10'!O22/(D262+E262)*'W10'!D262*'W10'!D$247+'R10'!O22/(D262+E262)*'W10'!E262*'W10'!E$247,0)</f>
        <v>#DIV/0!</v>
      </c>
      <c r="E315" s="300"/>
      <c r="F315" s="302" t="e">
        <f ca="1">ROUND('R10'!P22/(F262+G262)*'W10'!F262*'W10'!F$247+'R10'!P22/(F262+G262)*'W10'!G262*'W10'!G$247,0)</f>
        <v>#DIV/0!</v>
      </c>
      <c r="G315" s="300"/>
      <c r="H315" s="302" t="e">
        <f ca="1">ROUND('R10'!Q22/(H262+I262)*'W10'!H262*'W10'!H$247+'R10'!Q22/(H262+I262)*'W10'!I262*'W10'!I$247,0)</f>
        <v>#DIV/0!</v>
      </c>
      <c r="I315" s="300"/>
      <c r="J315" s="302" t="e">
        <f ca="1">IF(J289=0,"",ROUND('R10'!R22/(J262+K262)*'W10'!J262*'W10'!J$247+'R10'!R22/(J262+K262)*'W10'!K262*'W10'!K$247,0))</f>
        <v>#DIV/0!</v>
      </c>
      <c r="K315" s="300"/>
    </row>
    <row r="316" spans="1:12" x14ac:dyDescent="0.2">
      <c r="A316" s="82">
        <f t="shared" si="68"/>
        <v>0</v>
      </c>
      <c r="B316" s="302">
        <f>IF((B263+C263)&lt;&gt;0,ROUND('R10'!N23/'W10'!H192*'W10'!B263*'W10'!$B$247+'R10'!N23/'W10'!H192*'W10'!C263*'W10'!$C$247,0),0)</f>
        <v>0</v>
      </c>
      <c r="C316" s="300"/>
      <c r="D316" s="302" t="e">
        <f ca="1">ROUND('R10'!O23/(D263+E263)*'W10'!D263*'W10'!D$247+'R10'!O23/(D263+E263)*'W10'!E263*'W10'!E$247,0)</f>
        <v>#DIV/0!</v>
      </c>
      <c r="E316" s="300"/>
      <c r="F316" s="302" t="e">
        <f ca="1">ROUND('R10'!P23/(F263+G263)*'W10'!F263*'W10'!F$247+'R10'!P23/(F263+G263)*'W10'!G263*'W10'!G$247,0)</f>
        <v>#DIV/0!</v>
      </c>
      <c r="G316" s="300"/>
      <c r="H316" s="302" t="e">
        <f ca="1">ROUND('R10'!Q23/(H263+I263)*'W10'!H263*'W10'!H$247+'R10'!Q23/(H263+I263)*'W10'!I263*'W10'!I$247,0)</f>
        <v>#DIV/0!</v>
      </c>
      <c r="I316" s="300"/>
      <c r="J316" s="302" t="e">
        <f ca="1">IF(J290=0,"",ROUND('R10'!R23/(J263+K263)*'W10'!J263*'W10'!J$247+'R10'!R23/(J263+K263)*'W10'!K263*'W10'!K$247,0))</f>
        <v>#DIV/0!</v>
      </c>
      <c r="K316" s="300"/>
    </row>
    <row r="317" spans="1:12" x14ac:dyDescent="0.2">
      <c r="A317" s="82">
        <f t="shared" si="68"/>
        <v>0</v>
      </c>
      <c r="B317" s="302">
        <f>IF((B264+C264)&lt;&gt;0,ROUND('R10'!N24/'W10'!H193*'W10'!B264*'W10'!$B$247+'R10'!N24/'W10'!H193*'W10'!C264*'W10'!$C$247,0),0)</f>
        <v>0</v>
      </c>
      <c r="C317" s="300"/>
      <c r="D317" s="302" t="e">
        <f ca="1">ROUND('R10'!O24/(D264+E264)*'W10'!D264*'W10'!D$247+'R10'!O24/(D264+E264)*'W10'!E264*'W10'!E$247,0)</f>
        <v>#DIV/0!</v>
      </c>
      <c r="E317" s="300"/>
      <c r="F317" s="302" t="e">
        <f ca="1">ROUND('R10'!P24/(F264+G264)*'W10'!F264*'W10'!F$247+'R10'!P24/(F264+G264)*'W10'!G264*'W10'!G$247,0)</f>
        <v>#DIV/0!</v>
      </c>
      <c r="G317" s="300"/>
      <c r="H317" s="302" t="e">
        <f ca="1">ROUND('R10'!Q24/(H264+I264)*'W10'!H264*'W10'!H$247+'R10'!Q24/(H264+I264)*'W10'!I264*'W10'!I$247,0)</f>
        <v>#DIV/0!</v>
      </c>
      <c r="I317" s="300"/>
      <c r="J317" s="302" t="e">
        <f ca="1">IF(J291=0,"",ROUND('R10'!R24/(J264+K264)*'W10'!J264*'W10'!J$247+'R10'!R24/(J264+K264)*'W10'!K264*'W10'!K$247,0))</f>
        <v>#DIV/0!</v>
      </c>
      <c r="K317" s="300"/>
    </row>
    <row r="318" spans="1:12" x14ac:dyDescent="0.2">
      <c r="A318" s="82">
        <f t="shared" si="68"/>
        <v>0</v>
      </c>
      <c r="B318" s="302">
        <f>IF((B265+C265)&lt;&gt;0,ROUND('R10'!N25/'W10'!H194*'W10'!B265*'W10'!$B$247+'R10'!N25/'W10'!H194*'W10'!C265*'W10'!$C$247,0),0)</f>
        <v>0</v>
      </c>
      <c r="C318" s="300"/>
      <c r="D318" s="302" t="e">
        <f ca="1">ROUND('R10'!O25/(D265+E265)*'W10'!D265*'W10'!D$247+'R10'!O25/(D265+E265)*'W10'!E265*'W10'!E$247,0)</f>
        <v>#DIV/0!</v>
      </c>
      <c r="E318" s="300"/>
      <c r="F318" s="302" t="e">
        <f ca="1">ROUND('R10'!P25/(F265+G265)*'W10'!F265*'W10'!F$247+'R10'!P25/(F265+G265)*'W10'!G265*'W10'!G$247,0)</f>
        <v>#DIV/0!</v>
      </c>
      <c r="G318" s="300"/>
      <c r="H318" s="302" t="e">
        <f ca="1">ROUND('R10'!Q25/(H265+I265)*'W10'!H265*'W10'!H$247+'R10'!Q25/(H265+I265)*'W10'!I265*'W10'!I$247,0)</f>
        <v>#DIV/0!</v>
      </c>
      <c r="I318" s="300"/>
      <c r="J318" s="302" t="e">
        <f ca="1">IF(J292=0,"",ROUND('R10'!R25/(J265+K265)*'W10'!J265*'W10'!J$247+'R10'!R25/(J265+K265)*'W10'!K265*'W10'!K$247,0))</f>
        <v>#DIV/0!</v>
      </c>
      <c r="K318" s="300"/>
    </row>
    <row r="319" spans="1:12" x14ac:dyDescent="0.2">
      <c r="A319" s="82">
        <f t="shared" si="68"/>
        <v>0</v>
      </c>
      <c r="B319" s="302">
        <f>IF((B266+C266)&lt;&gt;0,ROUND('R10'!N26/'W10'!H195*'W10'!B266*'W10'!$B$247+'R10'!N26/'W10'!H195*'W10'!C266*'W10'!$C$247,0),0)</f>
        <v>0</v>
      </c>
      <c r="C319" s="300"/>
      <c r="D319" s="302" t="e">
        <f ca="1">ROUND('R10'!O26/(D266+E266)*'W10'!D266*'W10'!D$247+'R10'!O26/(D266+E266)*'W10'!E266*'W10'!E$247,0)</f>
        <v>#DIV/0!</v>
      </c>
      <c r="E319" s="300"/>
      <c r="F319" s="302" t="e">
        <f ca="1">ROUND('R10'!P26/(F266+G266)*'W10'!F266*'W10'!F$247+'R10'!P26/(F266+G266)*'W10'!G266*'W10'!G$247,0)</f>
        <v>#DIV/0!</v>
      </c>
      <c r="G319" s="300"/>
      <c r="H319" s="302" t="e">
        <f ca="1">ROUND('R10'!Q26/(H266+I266)*'W10'!H266*'W10'!H$247+'R10'!Q26/(H266+I266)*'W10'!I266*'W10'!I$247,0)</f>
        <v>#DIV/0!</v>
      </c>
      <c r="I319" s="300"/>
      <c r="J319" s="302" t="e">
        <f ca="1">IF(J293=0,"",ROUND('R10'!R26/(J266+K266)*'W10'!J266*'W10'!J$247+'R10'!R26/(J266+K266)*'W10'!K266*'W10'!K$247,0))</f>
        <v>#DIV/0!</v>
      </c>
      <c r="K319" s="300"/>
    </row>
    <row r="320" spans="1:12" x14ac:dyDescent="0.2">
      <c r="A320" s="82">
        <f t="shared" si="68"/>
        <v>0</v>
      </c>
      <c r="B320" s="302">
        <f>IF((B267+C267)&lt;&gt;0,ROUND('R10'!N27/'W10'!H196*'W10'!B267*'W10'!$B$247+'R10'!N27/'W10'!H196*'W10'!C267*'W10'!$C$247,0),0)</f>
        <v>0</v>
      </c>
      <c r="C320" s="300"/>
      <c r="D320" s="302" t="e">
        <f ca="1">ROUND('R10'!O27/(D267+E267)*'W10'!D267*'W10'!D$247+'R10'!O27/(D267+E267)*'W10'!E267*'W10'!E$247,0)</f>
        <v>#DIV/0!</v>
      </c>
      <c r="E320" s="300"/>
      <c r="F320" s="302" t="e">
        <f ca="1">ROUND('R10'!P27/(F267+G267)*'W10'!F267*'W10'!F$247+'R10'!P27/(F267+G267)*'W10'!G267*'W10'!G$247,0)</f>
        <v>#DIV/0!</v>
      </c>
      <c r="G320" s="300"/>
      <c r="H320" s="302" t="e">
        <f ca="1">ROUND('R10'!Q27/(H267+I267)*'W10'!H267*'W10'!H$247+'R10'!Q27/(H267+I267)*'W10'!I267*'W10'!I$247,0)</f>
        <v>#DIV/0!</v>
      </c>
      <c r="I320" s="300"/>
      <c r="J320" s="302" t="e">
        <f ca="1">IF(J294=0,"",ROUND('R10'!R27/(J267+K267)*'W10'!J267*'W10'!J$247+'R10'!R27/(J267+K267)*'W10'!K267*'W10'!K$247,0))</f>
        <v>#DIV/0!</v>
      </c>
      <c r="K320" s="300"/>
    </row>
    <row r="321" spans="1:11" x14ac:dyDescent="0.2">
      <c r="A321" s="82">
        <f t="shared" si="68"/>
        <v>0</v>
      </c>
      <c r="B321" s="302">
        <f>IF((B268+C268)&lt;&gt;0,ROUND('R10'!N28/'W10'!H197*'W10'!B268*'W10'!$B$247+'R10'!N28/'W10'!H197*'W10'!C268*'W10'!$C$247,0),0)</f>
        <v>0</v>
      </c>
      <c r="C321" s="300"/>
      <c r="D321" s="302" t="e">
        <f ca="1">ROUND('R10'!O28/(D268+E268)*'W10'!D268*'W10'!D$247+'R10'!O28/(D268+E268)*'W10'!E268*'W10'!E$247,0)</f>
        <v>#DIV/0!</v>
      </c>
      <c r="E321" s="300"/>
      <c r="F321" s="302" t="e">
        <f ca="1">ROUND('R10'!P28/(F268+G268)*'W10'!F268*'W10'!F$247+'R10'!P28/(F268+G268)*'W10'!G268*'W10'!G$247,0)</f>
        <v>#DIV/0!</v>
      </c>
      <c r="G321" s="300"/>
      <c r="H321" s="302" t="e">
        <f ca="1">ROUND('R10'!Q28/(H268+I268)*'W10'!H268*'W10'!H$247+'R10'!Q28/(H268+I268)*'W10'!I268*'W10'!I$247,0)</f>
        <v>#DIV/0!</v>
      </c>
      <c r="I321" s="300"/>
      <c r="J321" s="302" t="e">
        <f ca="1">IF(J295=0,"",ROUND('R10'!R28/(J268+K268)*'W10'!J268*'W10'!J$247+'R10'!R28/(J268+K268)*'W10'!K268*'W10'!K$247,0))</f>
        <v>#DIV/0!</v>
      </c>
      <c r="K321" s="300"/>
    </row>
    <row r="322" spans="1:11" x14ac:dyDescent="0.2">
      <c r="A322" s="82">
        <f t="shared" si="68"/>
        <v>0</v>
      </c>
      <c r="B322" s="302">
        <f>IF((B269+C269)&lt;&gt;0,ROUND('R10'!N29/'W10'!H198*'W10'!B269*'W10'!$B$247+'R10'!N29/'W10'!H198*'W10'!C269*'W10'!$C$247,0),0)</f>
        <v>0</v>
      </c>
      <c r="C322" s="300"/>
      <c r="D322" s="302" t="e">
        <f ca="1">ROUND('R10'!O29/(D269+E269)*'W10'!D269*'W10'!D$247+'R10'!O29/(D269+E269)*'W10'!E269*'W10'!E$247,0)</f>
        <v>#DIV/0!</v>
      </c>
      <c r="E322" s="300"/>
      <c r="F322" s="302" t="e">
        <f ca="1">ROUND('R10'!P29/(F269+G269)*'W10'!F269*'W10'!F$247+'R10'!P29/(F269+G269)*'W10'!G269*'W10'!G$247,0)</f>
        <v>#DIV/0!</v>
      </c>
      <c r="G322" s="300"/>
      <c r="H322" s="302" t="e">
        <f ca="1">ROUND('R10'!Q29/(H269+I269)*'W10'!H269*'W10'!H$247+'R10'!Q29/(H269+I269)*'W10'!I269*'W10'!I$247,0)</f>
        <v>#DIV/0!</v>
      </c>
      <c r="I322" s="300"/>
      <c r="J322" s="302" t="e">
        <f ca="1">IF(J296=0,"",ROUND('R10'!R29/(J269+K269)*'W10'!J269*'W10'!J$247+'R10'!R29/(J269+K269)*'W10'!K269*'W10'!K$247,0))</f>
        <v>#DIV/0!</v>
      </c>
      <c r="K322" s="300"/>
    </row>
    <row r="323" spans="1:11" x14ac:dyDescent="0.2">
      <c r="A323" s="82">
        <f t="shared" si="68"/>
        <v>0</v>
      </c>
      <c r="B323" s="302">
        <f>IF((B270+C270)&lt;&gt;0,ROUND('R10'!N30/'W10'!H199*'W10'!B270*'W10'!$B$247+'R10'!N30/'W10'!H199*'W10'!C270*'W10'!$C$247,0),0)</f>
        <v>0</v>
      </c>
      <c r="C323" s="300"/>
      <c r="D323" s="302" t="e">
        <f ca="1">ROUND('R10'!O30/(D270+E270)*'W10'!D270*'W10'!D$247+'R10'!O30/(D270+E270)*'W10'!E270*'W10'!E$247,0)</f>
        <v>#DIV/0!</v>
      </c>
      <c r="E323" s="300"/>
      <c r="F323" s="302" t="e">
        <f ca="1">ROUND('R10'!P30/(F270+G270)*'W10'!F270*'W10'!F$247+'R10'!P30/(F270+G270)*'W10'!G270*'W10'!G$247,0)</f>
        <v>#DIV/0!</v>
      </c>
      <c r="G323" s="300"/>
      <c r="H323" s="302" t="e">
        <f ca="1">ROUND('R10'!Q30/(H270+I270)*'W10'!H270*'W10'!H$247+'R10'!Q30/(H270+I270)*'W10'!I270*'W10'!I$247,0)</f>
        <v>#DIV/0!</v>
      </c>
      <c r="I323" s="300"/>
      <c r="J323" s="302" t="e">
        <f ca="1">IF(J297=0,"",ROUND('R10'!R30/(J270+K270)*'W10'!J270*'W10'!J$247+'R10'!R30/(J270+K270)*'W10'!K270*'W10'!K$247,0))</f>
        <v>#DIV/0!</v>
      </c>
      <c r="K323" s="300"/>
    </row>
    <row r="324" spans="1:11" x14ac:dyDescent="0.2">
      <c r="A324" s="82">
        <f t="shared" si="68"/>
        <v>0</v>
      </c>
      <c r="B324" s="302">
        <f>IF((B271+C271)&lt;&gt;0,ROUND('R10'!N31/'W10'!H200*'W10'!B271*'W10'!$B$247+'R10'!N31/'W10'!H200*'W10'!C271*'W10'!$C$247,0),0)</f>
        <v>0</v>
      </c>
      <c r="C324" s="300"/>
      <c r="D324" s="302" t="e">
        <f ca="1">ROUND('R10'!O31/(D271+E271)*'W10'!D271*'W10'!D$247+'R10'!O31/(D271+E271)*'W10'!E271*'W10'!E$247,0)</f>
        <v>#DIV/0!</v>
      </c>
      <c r="E324" s="300"/>
      <c r="F324" s="302" t="e">
        <f ca="1">ROUND('R10'!P31/(F271+G271)*'W10'!F271*'W10'!F$247+'R10'!P31/(F271+G271)*'W10'!G271*'W10'!G$247,0)</f>
        <v>#DIV/0!</v>
      </c>
      <c r="G324" s="300"/>
      <c r="H324" s="302" t="e">
        <f ca="1">ROUND('R10'!Q31/(H271+I271)*'W10'!H271*'W10'!H$247+'R10'!Q31/(H271+I271)*'W10'!I271*'W10'!I$247,0)</f>
        <v>#DIV/0!</v>
      </c>
      <c r="I324" s="300"/>
      <c r="J324" s="302" t="e">
        <f ca="1">IF(J298=0,"",ROUND('R10'!R31/(J271+K271)*'W10'!J271*'W10'!J$247+'R10'!R31/(J271+K271)*'W10'!K271*'W10'!K$247,0))</f>
        <v>#DIV/0!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>
        <f>'P10'!B3</f>
        <v>0</v>
      </c>
      <c r="B328" s="302">
        <f ca="1">IF('W10'!$C$5=0,"",IF(AND('R10'!$S$4="Multi",'R10'!$R$4="FY"),ROUND(((1+'R10'!$M8)^'W10'!$B$20*'W10'!$C$9+(1+'R10'!$M8)^('W10'!$B$20+1)*'W10'!$C$10)/('W10'!$C$5)*'R10'!$E8,0),(IF(AND('R10'!$S$4="Multi",'R10'!$R$4="PY"),ROUND('R10'!$E8/('W10'!$C$5)*'W10'!$C$5,0),(IF(AND('R10'!$S$4&lt;&gt;"Multi",'R10'!$R$4="FY"),ROUND(((1+'R10'!$S$4)^'W10'!$B$20*'W10'!$C$9+(1+'R10'!$S$4)^('W10'!$B$20+1)*'W10'!$C$10)/'W10'!$C$5*'R10'!$E8,0),ROUND('R10'!$E8/'W10'!$C$5*'W10'!$C$5,0)))))))</f>
        <v>0</v>
      </c>
      <c r="C328" s="300"/>
      <c r="D328" s="302">
        <f ca="1">IF('W10'!$D$5=0,"",IF($C$4=$D$4,(IF(AND('R10'!$S$4="Multi",'R10'!$R$4="FY"),ROUND(((1+'R10'!$M8)^('W10'!$B$20)*'W10'!$D$9+(1+'R10'!$M8)^('W10'!$B$20+1)*'W10'!$D$10)/'W10'!$D$5*'R10'!$E8,0),(IF(AND('R10'!$S$4="Multi",'R10'!$R$4="PY"),ROUND('R10'!$E8*(1+'R10'!$M8)/'W10'!$D$5*'W10'!$D$5,0),(IF(AND('R10'!$S$4&lt;&gt;"Multi",'R10'!$R$4="FY"),ROUND(((1+'R10'!$S$4)^('W10'!$B$20)*'W10'!$D$9+(1+'R10'!$S$4)^('W10'!$B$20+1)*'W10'!$D$10)/'W10'!$D$5*'R10'!$E8,0),ROUND('R10'!$E8*(1+'R10'!$S$4)/'W10'!$D$5*'W10'!$D$5,0))))))),(IF(AND('R10'!$S$4="Multi",'R10'!$R$4="FY"),ROUND(((1+'R10'!$M8)^('W10'!$B$20+1)*'W10'!$D$9+(1+'R10'!$M8)^('W10'!$B$20+2)*'W10'!$D$10)/'W10'!$D$5*'R10'!$E8,0),(IF(AND('R10'!$S$4="Multi",'R10'!$R$4="PY"),ROUND('R10'!$E8*(1+'R10'!$M8)/'W10'!$D$5*'W10'!$D$5,0),(IF(AND('R10'!$S$4&lt;&gt;"Multi",'R10'!$R$4="FY"),ROUND(((1+'R10'!$S$4)^('W10'!$B$20+1)*'W10'!$D$9+(1+'R10'!$S$4)^('W10'!$B$20+2)*'W10'!$D$10)/'W10'!$D$5*'R10'!$E8,0),ROUND('R10'!$E8*(1+'R10'!$S$4)/'W10'!$D$5*'W10'!$D$5,0)))))))))</f>
        <v>0</v>
      </c>
      <c r="E328" s="300"/>
      <c r="F328" s="302">
        <f ca="1">IF('W10'!$E$5=0,"",IF($C$4=$D$4,(IF(AND('R10'!$S$4="Multi",'R10'!$R$4="FY"),ROUND(((1+'R10'!$M8)^('W10'!$B$20+1)*'W10'!$E$9+(1+'R10'!$M8)^('W10'!$B$20+3)*'W10'!$E$10)/'W10'!$E$5*'R10'!$E8,0),(IF(AND('R10'!$S$4="Multi",'R10'!$R$4="PY"),ROUND('R10'!$E8*((1+'R10'!$M8)^2)/'W10'!$E$5*'W10'!$E$5,0),(IF(AND('R10'!$S$4&lt;&gt;"Multi",'R10'!$R$4="FY"),ROUND(((1+'R10'!$S$4)^('W10'!$B$20+1)*'W10'!$E$9+(1+'R10'!$S$4)^('W10'!$B$20+2)*'W10'!$E$10)/'W10'!$E$5*'R10'!$E8,0),ROUND('R10'!$E8*((1+'R10'!$S$4)^2)/'W10'!$E$5*'W10'!$E$5,0))))))),(IF(AND('R10'!$S$4="Multi",'R10'!$R$4="FY"),ROUND(((1+'R10'!$M8)^('W10'!$B$20+2)*'W10'!$E$9+(1+'R10'!$M8)^('W10'!$B$20+3)*'W10'!$E$10)/'W10'!$E$5*'R10'!$E8,0),(IF(AND('R10'!$S$4="Multi",'R10'!$R$4="PY"),ROUND('R10'!$E8*((1+'R10'!$M8)^2)/'W10'!$E$5*'W10'!$E$5,0),(IF(AND('R10'!$S$4&lt;&gt;"Multi",'R10'!$R$4="FY"),ROUND(((1+'R10'!$S$4)^('W10'!$B$20+2)*'W10'!$E$9+(1+'R10'!$S$4)^('W10'!$B$20+3)*'W10'!$E$10)/'W10'!$E$5*'R10'!$E8,0),ROUND('R10'!$E8*((1+'R10'!$S$4)^2)/'W10'!$E$5*'W10'!$E$5,0)))))))))</f>
        <v>0</v>
      </c>
      <c r="G328" s="300"/>
      <c r="H328" s="302">
        <f ca="1">IF('W10'!$F$5=0,"",IF($C$4=$D$4,(IF(AND('R10'!$S$4="Multi",'R10'!$R$4="FY"),ROUND(((1+'R10'!$M8)^('W10'!$B$20+2)*'W10'!$F$9+(1+'R10'!$M8)^('W10'!$B$20+3)*'W10'!$F$10)/'W10'!$F$5*'R10'!$E8,0),(IF(AND('R10'!$S$4="Multi",'R10'!$R$4="PY"),ROUND('R10'!$E8*((1+'R10'!$M8)^3)/'W10'!$F$5*'W10'!$F$5,0),(IF(AND('R10'!$S$4&lt;&gt;"Multi",'R10'!$R$4="FY"),ROUND(((1+'R10'!$S$4)^('W10'!$B$20+2)*'W10'!$F$9+(1+'R10'!$S$4)^('W10'!$B$20+3)*'W10'!$F$10)/'W10'!$F$5*'R10'!$E8,0),ROUND('R10'!$E8*((1+'R10'!$S$4)^3)/'W10'!$F$5*'W10'!$F$5,0))))))),(IF(AND('R10'!$S$4="Multi",'R10'!$R$4="FY"),ROUND(((1+'R10'!$M8)^('W10'!$B$20+3)*'W10'!$F$9+(1+'R10'!$M8)^('W10'!$B$20+4)*'W10'!$F$10)/'W10'!$F$5*'R10'!$E8,0),(IF(AND('R10'!$S$4="Multi",'R10'!$R$4="PY"),ROUND('R10'!$E8*((1+'R10'!$M8)^3)/'W10'!$F$5*'W10'!$F$5,0),(IF(AND('R10'!$S$4&lt;&gt;"Multi",'R10'!$R$4="FY"),ROUND(((1+'R10'!$S$4)^('W10'!$B$20+3)*'W10'!$F$9+(1+'R10'!$S$4)^('W10'!$B$20+4)*'W10'!$F$10)/'W10'!$F$5*'R10'!$E8,0),ROUND('R10'!$E8*((1+'R10'!$S$4)^3)/'W10'!$F$5*'W10'!$F$5,0)))))))))</f>
        <v>0</v>
      </c>
      <c r="I328" s="300"/>
      <c r="J328" s="302">
        <f ca="1">IF('W10'!$G$5=0,"",IF($C$4=$D$4,(IF(AND('R10'!$S$4="Multi",'R10'!$R$4="FY"),ROUND(((1+'R10'!$M8)^('W10'!$B$20+3)*'W10'!$G$9+(1+'R10'!$M8)^('W10'!$B$20+4)*'W10'!$G$10)/'W10'!$G$5*'R10'!$E8,0),(IF(AND('R10'!$S$4="Multi",'R10'!$R$4="PY"),ROUND('R10'!$E8*((1+'R10'!$M8)^4)/'W10'!$G$5*'W10'!$G$5,0),(IF(AND('R10'!$S$4&lt;&gt;"Multi",'R10'!$R$4="FY"),ROUND(((1+'R10'!$S$4)^('W10'!$B$20+3)*'W10'!$G$9+(1+'R10'!$S$4)^('W10'!$B$20+4)*'W10'!$G$10)/'W10'!$G$5*'R10'!$E8,0),ROUND('R10'!$E8*((1+'R10'!$S$4)^4)/'W10'!$G$5*'W10'!$G$5,0))))))),(IF(AND('R10'!$S$4="Multi",'R10'!$R$4="FY"),ROUND(((1+'R10'!$M8)^('W10'!$B$20+4)*'W10'!$G$9+(1+'R10'!$M8)^('W10'!$B$20+5)*'W10'!$G$10)/'W10'!$G$5*'R10'!$E8,0),(IF(AND('R10'!$S$4="Multi",'R10'!$R$4="PY"),ROUND('R10'!$E8*((1+'R10'!$M8)^4)/'W10'!$G$5*'W10'!$G$5,0),(IF(AND('R10'!$S$4&lt;&gt;"Multi",'R10'!$R$4="FY"),ROUND(((1+'R10'!$S$4)^('W10'!$B$20+4)*'W10'!$G$9+(1+'R10'!$S$4)^('W10'!$B$20+5)*'W10'!$G$10)/'W10'!$G$5*'R10'!$E8,0),ROUND('R10'!$E8*((1+'R10'!$S$4)^4)/'W10'!$G$5*'W10'!$G$5,0)))))))))</f>
        <v>0</v>
      </c>
      <c r="K328" s="300"/>
    </row>
    <row r="329" spans="1:11" x14ac:dyDescent="0.2">
      <c r="A329" s="82">
        <f>'P10'!B4</f>
        <v>0</v>
      </c>
      <c r="B329" s="302">
        <f ca="1">IF('W10'!$C$5=0,"",IF(AND('R10'!$S$4="Multi",'R10'!$R$4="FY"),ROUND(((1+'R10'!$M9)^'W10'!$B$20*'W10'!$C$9+(1+'R10'!$M9)^('W10'!$B$20+1)*'W10'!$C$10)/('W10'!$C$5)*'R10'!$E9,0),(IF(AND('R10'!$S$4="Multi",'R10'!$R$4="PY"),ROUND('R10'!$E9/('W10'!$C$5)*'W10'!$C$5,0),(IF(AND('R10'!$S$4&lt;&gt;"Multi",'R10'!$R$4="FY"),ROUND(((1+'R10'!$S$4)^'W10'!$B$20*'W10'!$C$9+(1+'R10'!$S$4)^('W10'!$B$20+1)*'W10'!$C$10)/'W10'!$C$5*'R10'!$E9,0),ROUND('R10'!$E9/'W10'!$C$5*'W10'!$C$5,0)))))))</f>
        <v>0</v>
      </c>
      <c r="C329" s="300"/>
      <c r="D329" s="302">
        <f ca="1">IF('W10'!$D$5=0,"",IF($C$4=$D$4,(IF(AND('R10'!$S$4="Multi",'R10'!$R$4="FY"),ROUND(((1+'R10'!$M9)^('W10'!$B$20)*'W10'!$D$9+(1+'R10'!$M9)^('W10'!$B$20+1)*'W10'!$D$10)/'W10'!$D$5*'R10'!$E9,0),(IF(AND('R10'!$S$4="Multi",'R10'!$R$4="PY"),ROUND('R10'!$E9*(1+'R10'!$M9)/'W10'!$D$5*'W10'!$D$5,0),(IF(AND('R10'!$S$4&lt;&gt;"Multi",'R10'!$R$4="FY"),ROUND(((1+'R10'!$S$4)^('W10'!$B$20)*'W10'!$D$9+(1+'R10'!$S$4)^('W10'!$B$20+1)*'W10'!$D$10)/'W10'!$D$5*'R10'!$E9,0),ROUND('R10'!$E9*(1+'R10'!$S$4)/'W10'!$D$5*'W10'!$D$5,0))))))),(IF(AND('R10'!$S$4="Multi",'R10'!$R$4="FY"),ROUND(((1+'R10'!$M9)^('W10'!$B$20+1)*'W10'!$D$9+(1+'R10'!$M9)^('W10'!$B$20+2)*'W10'!$D$10)/'W10'!$D$5*'R10'!$E9,0),(IF(AND('R10'!$S$4="Multi",'R10'!$R$4="PY"),ROUND('R10'!$E9*(1+'R10'!$M9)/'W10'!$D$5*'W10'!$D$5,0),(IF(AND('R10'!$S$4&lt;&gt;"Multi",'R10'!$R$4="FY"),ROUND(((1+'R10'!$S$4)^('W10'!$B$20+1)*'W10'!$D$9+(1+'R10'!$S$4)^('W10'!$B$20+2)*'W10'!$D$10)/'W10'!$D$5*'R10'!$E9,0),ROUND('R10'!$E9*(1+'R10'!$S$4)/'W10'!$D$5*'W10'!$D$5,0)))))))))</f>
        <v>0</v>
      </c>
      <c r="E329" s="300"/>
      <c r="F329" s="302">
        <f ca="1">IF('W10'!$E$5=0,"",IF($C$4=$D$4,(IF(AND('R10'!$S$4="Multi",'R10'!$R$4="FY"),ROUND(((1+'R10'!$M9)^('W10'!$B$20+1)*'W10'!$E$9+(1+'R10'!$M9)^('W10'!$B$20+3)*'W10'!$E$10)/'W10'!$E$5*'R10'!$E9,0),(IF(AND('R10'!$S$4="Multi",'R10'!$R$4="PY"),ROUND('R10'!$E9*((1+'R10'!$M9)^2)/'W10'!$E$5*'W10'!$E$5,0),(IF(AND('R10'!$S$4&lt;&gt;"Multi",'R10'!$R$4="FY"),ROUND(((1+'R10'!$S$4)^('W10'!$B$20+1)*'W10'!$E$9+(1+'R10'!$S$4)^('W10'!$B$20+2)*'W10'!$E$10)/'W10'!$E$5*'R10'!$E9,0),ROUND('R10'!$E9*((1+'R10'!$S$4)^2)/'W10'!$E$5*'W10'!$E$5,0))))))),(IF(AND('R10'!$S$4="Multi",'R10'!$R$4="FY"),ROUND(((1+'R10'!$M9)^('W10'!$B$20+2)*'W10'!$E$9+(1+'R10'!$M9)^('W10'!$B$20+3)*'W10'!$E$10)/'W10'!$E$5*'R10'!$E9,0),(IF(AND('R10'!$S$4="Multi",'R10'!$R$4="PY"),ROUND('R10'!$E9*((1+'R10'!$M9)^2)/'W10'!$E$5*'W10'!$E$5,0),(IF(AND('R10'!$S$4&lt;&gt;"Multi",'R10'!$R$4="FY"),ROUND(((1+'R10'!$S$4)^('W10'!$B$20+2)*'W10'!$E$9+(1+'R10'!$S$4)^('W10'!$B$20+3)*'W10'!$E$10)/'W10'!$E$5*'R10'!$E9,0),ROUND('R10'!$E9*((1+'R10'!$S$4)^2)/'W10'!$E$5*'W10'!$E$5,0)))))))))</f>
        <v>0</v>
      </c>
      <c r="G329" s="300"/>
      <c r="H329" s="302">
        <f ca="1">IF('W10'!$F$5=0,"",IF($C$4=$D$4,(IF(AND('R10'!$S$4="Multi",'R10'!$R$4="FY"),ROUND(((1+'R10'!$M9)^('W10'!$B$20+2)*'W10'!$F$9+(1+'R10'!$M9)^('W10'!$B$20+3)*'W10'!$F$10)/'W10'!$F$5*'R10'!$E9,0),(IF(AND('R10'!$S$4="Multi",'R10'!$R$4="PY"),ROUND('R10'!$E9*((1+'R10'!$M9)^3)/'W10'!$F$5*'W10'!$F$5,0),(IF(AND('R10'!$S$4&lt;&gt;"Multi",'R10'!$R$4="FY"),ROUND(((1+'R10'!$S$4)^('W10'!$B$20+2)*'W10'!$F$9+(1+'R10'!$S$4)^('W10'!$B$20+3)*'W10'!$F$10)/'W10'!$F$5*'R10'!$E9,0),ROUND('R10'!$E9*((1+'R10'!$S$4)^3)/'W10'!$F$5*'W10'!$F$5,0))))))),(IF(AND('R10'!$S$4="Multi",'R10'!$R$4="FY"),ROUND(((1+'R10'!$M9)^('W10'!$B$20+3)*'W10'!$F$9+(1+'R10'!$M9)^('W10'!$B$20+4)*'W10'!$F$10)/'W10'!$F$5*'R10'!$E9,0),(IF(AND('R10'!$S$4="Multi",'R10'!$R$4="PY"),ROUND('R10'!$E9*((1+'R10'!$M9)^3)/'W10'!$F$5*'W10'!$F$5,0),(IF(AND('R10'!$S$4&lt;&gt;"Multi",'R10'!$R$4="FY"),ROUND(((1+'R10'!$S$4)^('W10'!$B$20+3)*'W10'!$F$9+(1+'R10'!$S$4)^('W10'!$B$20+4)*'W10'!$F$10)/'W10'!$F$5*'R10'!$E9,0),ROUND('R10'!$E9*((1+'R10'!$S$4)^3)/'W10'!$F$5*'W10'!$F$5,0)))))))))</f>
        <v>0</v>
      </c>
      <c r="I329" s="300"/>
      <c r="J329" s="302">
        <f ca="1">IF('W10'!$G$5=0,"",IF($C$4=$D$4,(IF(AND('R10'!$S$4="Multi",'R10'!$R$4="FY"),ROUND(((1+'R10'!$M9)^('W10'!$B$20+3)*'W10'!$G$9+(1+'R10'!$M9)^('W10'!$B$20+4)*'W10'!$G$10)/'W10'!$G$5*'R10'!$E9,0),(IF(AND('R10'!$S$4="Multi",'R10'!$R$4="PY"),ROUND('R10'!$E9*((1+'R10'!$M9)^4)/'W10'!$G$5*'W10'!$G$5,0),(IF(AND('R10'!$S$4&lt;&gt;"Multi",'R10'!$R$4="FY"),ROUND(((1+'R10'!$S$4)^('W10'!$B$20+3)*'W10'!$G$9+(1+'R10'!$S$4)^('W10'!$B$20+4)*'W10'!$G$10)/'W10'!$G$5*'R10'!$E9,0),ROUND('R10'!$E9*((1+'R10'!$S$4)^4)/'W10'!$G$5*'W10'!$G$5,0))))))),(IF(AND('R10'!$S$4="Multi",'R10'!$R$4="FY"),ROUND(((1+'R10'!$M9)^('W10'!$B$20+4)*'W10'!$G$9+(1+'R10'!$M9)^('W10'!$B$20+5)*'W10'!$G$10)/'W10'!$G$5*'R10'!$E9,0),(IF(AND('R10'!$S$4="Multi",'R10'!$R$4="PY"),ROUND('R10'!$E9*((1+'R10'!$M9)^4)/'W10'!$G$5*'W10'!$G$5,0),(IF(AND('R10'!$S$4&lt;&gt;"Multi",'R10'!$R$4="FY"),ROUND(((1+'R10'!$S$4)^('W10'!$B$20+4)*'W10'!$G$9+(1+'R10'!$S$4)^('W10'!$B$20+5)*'W10'!$G$10)/'W10'!$G$5*'R10'!$E9,0),ROUND('R10'!$E9*((1+'R10'!$S$4)^4)/'W10'!$G$5*'W10'!$G$5,0)))))))))</f>
        <v>0</v>
      </c>
      <c r="K329" s="300"/>
    </row>
    <row r="330" spans="1:11" x14ac:dyDescent="0.2">
      <c r="A330" s="82">
        <f>'P10'!B5</f>
        <v>0</v>
      </c>
      <c r="B330" s="302">
        <f ca="1">IF('W10'!$C$5=0,"",IF(AND('R10'!$S$4="Multi",'R10'!$R$4="FY"),ROUND(((1+'R10'!$M10)^'W10'!$B$20*'W10'!$C$9+(1+'R10'!$M10)^('W10'!$B$20+1)*'W10'!$C$10)/('W10'!$C$5)*'R10'!$E10,0),(IF(AND('R10'!$S$4="Multi",'R10'!$R$4="PY"),ROUND('R10'!$E10/('W10'!$C$5)*'W10'!$C$5,0),(IF(AND('R10'!$S$4&lt;&gt;"Multi",'R10'!$R$4="FY"),ROUND(((1+'R10'!$S$4)^'W10'!$B$20*'W10'!$C$9+(1+'R10'!$S$4)^('W10'!$B$20+1)*'W10'!$C$10)/'W10'!$C$5*'R10'!$E10,0),ROUND('R10'!$E10/'W10'!$C$5*'W10'!$C$5,0)))))))</f>
        <v>0</v>
      </c>
      <c r="C330" s="300"/>
      <c r="D330" s="302">
        <f ca="1">IF('W10'!$D$5=0,"",IF($C$4=$D$4,(IF(AND('R10'!$S$4="Multi",'R10'!$R$4="FY"),ROUND(((1+'R10'!$M10)^('W10'!$B$20)*'W10'!$D$9+(1+'R10'!$M10)^('W10'!$B$20+1)*'W10'!$D$10)/'W10'!$D$5*'R10'!$E10,0),(IF(AND('R10'!$S$4="Multi",'R10'!$R$4="PY"),ROUND('R10'!$E10*(1+'R10'!$M10)/'W10'!$D$5*'W10'!$D$5,0),(IF(AND('R10'!$S$4&lt;&gt;"Multi",'R10'!$R$4="FY"),ROUND(((1+'R10'!$S$4)^('W10'!$B$20)*'W10'!$D$9+(1+'R10'!$S$4)^('W10'!$B$20+1)*'W10'!$D$10)/'W10'!$D$5*'R10'!$E10,0),ROUND('R10'!$E10*(1+'R10'!$S$4)/'W10'!$D$5*'W10'!$D$5,0))))))),(IF(AND('R10'!$S$4="Multi",'R10'!$R$4="FY"),ROUND(((1+'R10'!$M10)^('W10'!$B$20+1)*'W10'!$D$9+(1+'R10'!$M10)^('W10'!$B$20+2)*'W10'!$D$10)/'W10'!$D$5*'R10'!$E10,0),(IF(AND('R10'!$S$4="Multi",'R10'!$R$4="PY"),ROUND('R10'!$E10*(1+'R10'!$M10)/'W10'!$D$5*'W10'!$D$5,0),(IF(AND('R10'!$S$4&lt;&gt;"Multi",'R10'!$R$4="FY"),ROUND(((1+'R10'!$S$4)^('W10'!$B$20+1)*'W10'!$D$9+(1+'R10'!$S$4)^('W10'!$B$20+2)*'W10'!$D$10)/'W10'!$D$5*'R10'!$E10,0),ROUND('R10'!$E10*(1+'R10'!$S$4)/'W10'!$D$5*'W10'!$D$5,0)))))))))</f>
        <v>0</v>
      </c>
      <c r="E330" s="300"/>
      <c r="F330" s="302">
        <f ca="1">IF('W10'!$E$5=0,"",IF($C$4=$D$4,(IF(AND('R10'!$S$4="Multi",'R10'!$R$4="FY"),ROUND(((1+'R10'!$M10)^('W10'!$B$20+1)*'W10'!$E$9+(1+'R10'!$M10)^('W10'!$B$20+3)*'W10'!$E$10)/'W10'!$E$5*'R10'!$E10,0),(IF(AND('R10'!$S$4="Multi",'R10'!$R$4="PY"),ROUND('R10'!$E10*((1+'R10'!$M10)^2)/'W10'!$E$5*'W10'!$E$5,0),(IF(AND('R10'!$S$4&lt;&gt;"Multi",'R10'!$R$4="FY"),ROUND(((1+'R10'!$S$4)^('W10'!$B$20+1)*'W10'!$E$9+(1+'R10'!$S$4)^('W10'!$B$20+2)*'W10'!$E$10)/'W10'!$E$5*'R10'!$E10,0),ROUND('R10'!$E10*((1+'R10'!$S$4)^2)/'W10'!$E$5*'W10'!$E$5,0))))))),(IF(AND('R10'!$S$4="Multi",'R10'!$R$4="FY"),ROUND(((1+'R10'!$M10)^('W10'!$B$20+2)*'W10'!$E$9+(1+'R10'!$M10)^('W10'!$B$20+3)*'W10'!$E$10)/'W10'!$E$5*'R10'!$E10,0),(IF(AND('R10'!$S$4="Multi",'R10'!$R$4="PY"),ROUND('R10'!$E10*((1+'R10'!$M10)^2)/'W10'!$E$5*'W10'!$E$5,0),(IF(AND('R10'!$S$4&lt;&gt;"Multi",'R10'!$R$4="FY"),ROUND(((1+'R10'!$S$4)^('W10'!$B$20+2)*'W10'!$E$9+(1+'R10'!$S$4)^('W10'!$B$20+3)*'W10'!$E$10)/'W10'!$E$5*'R10'!$E10,0),ROUND('R10'!$E10*((1+'R10'!$S$4)^2)/'W10'!$E$5*'W10'!$E$5,0)))))))))</f>
        <v>0</v>
      </c>
      <c r="G330" s="300"/>
      <c r="H330" s="302">
        <f ca="1">IF('W10'!$F$5=0,"",IF($C$4=$D$4,(IF(AND('R10'!$S$4="Multi",'R10'!$R$4="FY"),ROUND(((1+'R10'!$M10)^('W10'!$B$20+2)*'W10'!$F$9+(1+'R10'!$M10)^('W10'!$B$20+3)*'W10'!$F$10)/'W10'!$F$5*'R10'!$E10,0),(IF(AND('R10'!$S$4="Multi",'R10'!$R$4="PY"),ROUND('R10'!$E10*((1+'R10'!$M10)^3)/'W10'!$F$5*'W10'!$F$5,0),(IF(AND('R10'!$S$4&lt;&gt;"Multi",'R10'!$R$4="FY"),ROUND(((1+'R10'!$S$4)^('W10'!$B$20+2)*'W10'!$F$9+(1+'R10'!$S$4)^('W10'!$B$20+3)*'W10'!$F$10)/'W10'!$F$5*'R10'!$E10,0),ROUND('R10'!$E10*((1+'R10'!$S$4)^3)/'W10'!$F$5*'W10'!$F$5,0))))))),(IF(AND('R10'!$S$4="Multi",'R10'!$R$4="FY"),ROUND(((1+'R10'!$M10)^('W10'!$B$20+3)*'W10'!$F$9+(1+'R10'!$M10)^('W10'!$B$20+4)*'W10'!$F$10)/'W10'!$F$5*'R10'!$E10,0),(IF(AND('R10'!$S$4="Multi",'R10'!$R$4="PY"),ROUND('R10'!$E10*((1+'R10'!$M10)^3)/'W10'!$F$5*'W10'!$F$5,0),(IF(AND('R10'!$S$4&lt;&gt;"Multi",'R10'!$R$4="FY"),ROUND(((1+'R10'!$S$4)^('W10'!$B$20+3)*'W10'!$F$9+(1+'R10'!$S$4)^('W10'!$B$20+4)*'W10'!$F$10)/'W10'!$F$5*'R10'!$E10,0),ROUND('R10'!$E10*((1+'R10'!$S$4)^3)/'W10'!$F$5*'W10'!$F$5,0)))))))))</f>
        <v>0</v>
      </c>
      <c r="I330" s="300"/>
      <c r="J330" s="302">
        <f ca="1">IF('W10'!$G$5=0,"",IF($C$4=$D$4,(IF(AND('R10'!$S$4="Multi",'R10'!$R$4="FY"),ROUND(((1+'R10'!$M10)^('W10'!$B$20+3)*'W10'!$G$9+(1+'R10'!$M10)^('W10'!$B$20+4)*'W10'!$G$10)/'W10'!$G$5*'R10'!$E10,0),(IF(AND('R10'!$S$4="Multi",'R10'!$R$4="PY"),ROUND('R10'!$E10*((1+'R10'!$M10)^4)/'W10'!$G$5*'W10'!$G$5,0),(IF(AND('R10'!$S$4&lt;&gt;"Multi",'R10'!$R$4="FY"),ROUND(((1+'R10'!$S$4)^('W10'!$B$20+3)*'W10'!$G$9+(1+'R10'!$S$4)^('W10'!$B$20+4)*'W10'!$G$10)/'W10'!$G$5*'R10'!$E10,0),ROUND('R10'!$E10*((1+'R10'!$S$4)^4)/'W10'!$G$5*'W10'!$G$5,0))))))),(IF(AND('R10'!$S$4="Multi",'R10'!$R$4="FY"),ROUND(((1+'R10'!$M10)^('W10'!$B$20+4)*'W10'!$G$9+(1+'R10'!$M10)^('W10'!$B$20+5)*'W10'!$G$10)/'W10'!$G$5*'R10'!$E10,0),(IF(AND('R10'!$S$4="Multi",'R10'!$R$4="PY"),ROUND('R10'!$E10*((1+'R10'!$M10)^4)/'W10'!$G$5*'W10'!$G$5,0),(IF(AND('R10'!$S$4&lt;&gt;"Multi",'R10'!$R$4="FY"),ROUND(((1+'R10'!$S$4)^('W10'!$B$20+4)*'W10'!$G$9+(1+'R10'!$S$4)^('W10'!$B$20+5)*'W10'!$G$10)/'W10'!$G$5*'R10'!$E10,0),ROUND('R10'!$E10*((1+'R10'!$S$4)^4)/'W10'!$G$5*'W10'!$G$5,0)))))))))</f>
        <v>0</v>
      </c>
      <c r="K330" s="300"/>
    </row>
    <row r="331" spans="1:11" x14ac:dyDescent="0.2">
      <c r="A331" s="82">
        <f>'P10'!B6</f>
        <v>0</v>
      </c>
      <c r="B331" s="302">
        <f ca="1">IF('W10'!$C$5=0,"",IF(AND('R10'!$S$4="Multi",'R10'!$R$4="FY"),ROUND(((1+'R10'!$M11)^'W10'!$B$20*'W10'!$C$9+(1+'R10'!$M11)^('W10'!$B$20+1)*'W10'!$C$10)/('W10'!$C$5)*'R10'!$E11,0),(IF(AND('R10'!$S$4="Multi",'R10'!$R$4="PY"),ROUND('R10'!$E11/('W10'!$C$5)*'W10'!$C$5,0),(IF(AND('R10'!$S$4&lt;&gt;"Multi",'R10'!$R$4="FY"),ROUND(((1+'R10'!$S$4)^'W10'!$B$20*'W10'!$C$9+(1+'R10'!$S$4)^('W10'!$B$20+1)*'W10'!$C$10)/'W10'!$C$5*'R10'!$E11,0),ROUND('R10'!$E11/'W10'!$C$5*'W10'!$C$5,0)))))))</f>
        <v>0</v>
      </c>
      <c r="C331" s="300"/>
      <c r="D331" s="302">
        <f ca="1">IF('W10'!$D$5=0,"",IF($C$4=$D$4,(IF(AND('R10'!$S$4="Multi",'R10'!$R$4="FY"),ROUND(((1+'R10'!$M11)^('W10'!$B$20)*'W10'!$D$9+(1+'R10'!$M11)^('W10'!$B$20+1)*'W10'!$D$10)/'W10'!$D$5*'R10'!$E11,0),(IF(AND('R10'!$S$4="Multi",'R10'!$R$4="PY"),ROUND('R10'!$E11*(1+'R10'!$M11)/'W10'!$D$5*'W10'!$D$5,0),(IF(AND('R10'!$S$4&lt;&gt;"Multi",'R10'!$R$4="FY"),ROUND(((1+'R10'!$S$4)^('W10'!$B$20)*'W10'!$D$9+(1+'R10'!$S$4)^('W10'!$B$20+1)*'W10'!$D$10)/'W10'!$D$5*'R10'!$E11,0),ROUND('R10'!$E11*(1+'R10'!$S$4)/'W10'!$D$5*'W10'!$D$5,0))))))),(IF(AND('R10'!$S$4="Multi",'R10'!$R$4="FY"),ROUND(((1+'R10'!$M11)^('W10'!$B$20+1)*'W10'!$D$9+(1+'R10'!$M11)^('W10'!$B$20+2)*'W10'!$D$10)/'W10'!$D$5*'R10'!$E11,0),(IF(AND('R10'!$S$4="Multi",'R10'!$R$4="PY"),ROUND('R10'!$E11*(1+'R10'!$M11)/'W10'!$D$5*'W10'!$D$5,0),(IF(AND('R10'!$S$4&lt;&gt;"Multi",'R10'!$R$4="FY"),ROUND(((1+'R10'!$S$4)^('W10'!$B$20+1)*'W10'!$D$9+(1+'R10'!$S$4)^('W10'!$B$20+2)*'W10'!$D$10)/'W10'!$D$5*'R10'!$E11,0),ROUND('R10'!$E11*(1+'R10'!$S$4)/'W10'!$D$5*'W10'!$D$5,0)))))))))</f>
        <v>0</v>
      </c>
      <c r="E331" s="300"/>
      <c r="F331" s="302">
        <f ca="1">IF('W10'!$E$5=0,"",IF($C$4=$D$4,(IF(AND('R10'!$S$4="Multi",'R10'!$R$4="FY"),ROUND(((1+'R10'!$M11)^('W10'!$B$20+1)*'W10'!$E$9+(1+'R10'!$M11)^('W10'!$B$20+3)*'W10'!$E$10)/'W10'!$E$5*'R10'!$E11,0),(IF(AND('R10'!$S$4="Multi",'R10'!$R$4="PY"),ROUND('R10'!$E11*((1+'R10'!$M11)^2)/'W10'!$E$5*'W10'!$E$5,0),(IF(AND('R10'!$S$4&lt;&gt;"Multi",'R10'!$R$4="FY"),ROUND(((1+'R10'!$S$4)^('W10'!$B$20+1)*'W10'!$E$9+(1+'R10'!$S$4)^('W10'!$B$20+2)*'W10'!$E$10)/'W10'!$E$5*'R10'!$E11,0),ROUND('R10'!$E11*((1+'R10'!$S$4)^2)/'W10'!$E$5*'W10'!$E$5,0))))))),(IF(AND('R10'!$S$4="Multi",'R10'!$R$4="FY"),ROUND(((1+'R10'!$M11)^('W10'!$B$20+2)*'W10'!$E$9+(1+'R10'!$M11)^('W10'!$B$20+3)*'W10'!$E$10)/'W10'!$E$5*'R10'!$E11,0),(IF(AND('R10'!$S$4="Multi",'R10'!$R$4="PY"),ROUND('R10'!$E11*((1+'R10'!$M11)^2)/'W10'!$E$5*'W10'!$E$5,0),(IF(AND('R10'!$S$4&lt;&gt;"Multi",'R10'!$R$4="FY"),ROUND(((1+'R10'!$S$4)^('W10'!$B$20+2)*'W10'!$E$9+(1+'R10'!$S$4)^('W10'!$B$20+3)*'W10'!$E$10)/'W10'!$E$5*'R10'!$E11,0),ROUND('R10'!$E11*((1+'R10'!$S$4)^2)/'W10'!$E$5*'W10'!$E$5,0)))))))))</f>
        <v>0</v>
      </c>
      <c r="G331" s="300"/>
      <c r="H331" s="302">
        <f ca="1">IF('W10'!$F$5=0,"",IF($C$4=$D$4,(IF(AND('R10'!$S$4="Multi",'R10'!$R$4="FY"),ROUND(((1+'R10'!$M11)^('W10'!$B$20+2)*'W10'!$F$9+(1+'R10'!$M11)^('W10'!$B$20+3)*'W10'!$F$10)/'W10'!$F$5*'R10'!$E11,0),(IF(AND('R10'!$S$4="Multi",'R10'!$R$4="PY"),ROUND('R10'!$E11*((1+'R10'!$M11)^3)/'W10'!$F$5*'W10'!$F$5,0),(IF(AND('R10'!$S$4&lt;&gt;"Multi",'R10'!$R$4="FY"),ROUND(((1+'R10'!$S$4)^('W10'!$B$20+2)*'W10'!$F$9+(1+'R10'!$S$4)^('W10'!$B$20+3)*'W10'!$F$10)/'W10'!$F$5*'R10'!$E11,0),ROUND('R10'!$E11*((1+'R10'!$S$4)^3)/'W10'!$F$5*'W10'!$F$5,0))))))),(IF(AND('R10'!$S$4="Multi",'R10'!$R$4="FY"),ROUND(((1+'R10'!$M11)^('W10'!$B$20+3)*'W10'!$F$9+(1+'R10'!$M11)^('W10'!$B$20+4)*'W10'!$F$10)/'W10'!$F$5*'R10'!$E11,0),(IF(AND('R10'!$S$4="Multi",'R10'!$R$4="PY"),ROUND('R10'!$E11*((1+'R10'!$M11)^3)/'W10'!$F$5*'W10'!$F$5,0),(IF(AND('R10'!$S$4&lt;&gt;"Multi",'R10'!$R$4="FY"),ROUND(((1+'R10'!$S$4)^('W10'!$B$20+3)*'W10'!$F$9+(1+'R10'!$S$4)^('W10'!$B$20+4)*'W10'!$F$10)/'W10'!$F$5*'R10'!$E11,0),ROUND('R10'!$E11*((1+'R10'!$S$4)^3)/'W10'!$F$5*'W10'!$F$5,0)))))))))</f>
        <v>0</v>
      </c>
      <c r="I331" s="300"/>
      <c r="J331" s="302">
        <f ca="1">IF('W10'!$G$5=0,"",IF($C$4=$D$4,(IF(AND('R10'!$S$4="Multi",'R10'!$R$4="FY"),ROUND(((1+'R10'!$M11)^('W10'!$B$20+3)*'W10'!$G$9+(1+'R10'!$M11)^('W10'!$B$20+4)*'W10'!$G$10)/'W10'!$G$5*'R10'!$E11,0),(IF(AND('R10'!$S$4="Multi",'R10'!$R$4="PY"),ROUND('R10'!$E11*((1+'R10'!$M11)^4)/'W10'!$G$5*'W10'!$G$5,0),(IF(AND('R10'!$S$4&lt;&gt;"Multi",'R10'!$R$4="FY"),ROUND(((1+'R10'!$S$4)^('W10'!$B$20+3)*'W10'!$G$9+(1+'R10'!$S$4)^('W10'!$B$20+4)*'W10'!$G$10)/'W10'!$G$5*'R10'!$E11,0),ROUND('R10'!$E11*((1+'R10'!$S$4)^4)/'W10'!$G$5*'W10'!$G$5,0))))))),(IF(AND('R10'!$S$4="Multi",'R10'!$R$4="FY"),ROUND(((1+'R10'!$M11)^('W10'!$B$20+4)*'W10'!$G$9+(1+'R10'!$M11)^('W10'!$B$20+5)*'W10'!$G$10)/'W10'!$G$5*'R10'!$E11,0),(IF(AND('R10'!$S$4="Multi",'R10'!$R$4="PY"),ROUND('R10'!$E11*((1+'R10'!$M11)^4)/'W10'!$G$5*'W10'!$G$5,0),(IF(AND('R10'!$S$4&lt;&gt;"Multi",'R10'!$R$4="FY"),ROUND(((1+'R10'!$S$4)^('W10'!$B$20+4)*'W10'!$G$9+(1+'R10'!$S$4)^('W10'!$B$20+5)*'W10'!$G$10)/'W10'!$G$5*'R10'!$E11,0),ROUND('R10'!$E11*((1+'R10'!$S$4)^4)/'W10'!$G$5*'W10'!$G$5,0)))))))))</f>
        <v>0</v>
      </c>
      <c r="K331" s="300"/>
    </row>
    <row r="332" spans="1:11" x14ac:dyDescent="0.2">
      <c r="A332" s="82">
        <f>'P10'!B7</f>
        <v>0</v>
      </c>
      <c r="B332" s="302">
        <f ca="1">IF('W10'!$C$5=0,"",IF(AND('R10'!$S$4="Multi",'R10'!$R$4="FY"),ROUND(((1+'R10'!$M12)^'W10'!$B$20*'W10'!$C$9+(1+'R10'!$M12)^('W10'!$B$20+1)*'W10'!$C$10)/('W10'!$C$5)*'R10'!$E12,0),(IF(AND('R10'!$S$4="Multi",'R10'!$R$4="PY"),ROUND('R10'!$E12/('W10'!$C$5)*'W10'!$C$5,0),(IF(AND('R10'!$S$4&lt;&gt;"Multi",'R10'!$R$4="FY"),ROUND(((1+'R10'!$S$4)^'W10'!$B$20*'W10'!$C$9+(1+'R10'!$S$4)^('W10'!$B$20+1)*'W10'!$C$10)/'W10'!$C$5*'R10'!$E12,0),ROUND('R10'!$E12/'W10'!$C$5*'W10'!$C$5,0)))))))</f>
        <v>0</v>
      </c>
      <c r="C332" s="300"/>
      <c r="D332" s="302">
        <f ca="1">IF('W10'!$D$5=0,"",IF($C$4=$D$4,(IF(AND('R10'!$S$4="Multi",'R10'!$R$4="FY"),ROUND(((1+'R10'!$M12)^('W10'!$B$20)*'W10'!$D$9+(1+'R10'!$M12)^('W10'!$B$20+1)*'W10'!$D$10)/'W10'!$D$5*'R10'!$E12,0),(IF(AND('R10'!$S$4="Multi",'R10'!$R$4="PY"),ROUND('R10'!$E12*(1+'R10'!$M12)/'W10'!$D$5*'W10'!$D$5,0),(IF(AND('R10'!$S$4&lt;&gt;"Multi",'R10'!$R$4="FY"),ROUND(((1+'R10'!$S$4)^('W10'!$B$20)*'W10'!$D$9+(1+'R10'!$S$4)^('W10'!$B$20+1)*'W10'!$D$10)/'W10'!$D$5*'R10'!$E12,0),ROUND('R10'!$E12*(1+'R10'!$S$4)/'W10'!$D$5*'W10'!$D$5,0))))))),(IF(AND('R10'!$S$4="Multi",'R10'!$R$4="FY"),ROUND(((1+'R10'!$M12)^('W10'!$B$20+1)*'W10'!$D$9+(1+'R10'!$M12)^('W10'!$B$20+2)*'W10'!$D$10)/'W10'!$D$5*'R10'!$E12,0),(IF(AND('R10'!$S$4="Multi",'R10'!$R$4="PY"),ROUND('R10'!$E12*(1+'R10'!$M12)/'W10'!$D$5*'W10'!$D$5,0),(IF(AND('R10'!$S$4&lt;&gt;"Multi",'R10'!$R$4="FY"),ROUND(((1+'R10'!$S$4)^('W10'!$B$20+1)*'W10'!$D$9+(1+'R10'!$S$4)^('W10'!$B$20+2)*'W10'!$D$10)/'W10'!$D$5*'R10'!$E12,0),ROUND('R10'!$E12*(1+'R10'!$S$4)/'W10'!$D$5*'W10'!$D$5,0)))))))))</f>
        <v>0</v>
      </c>
      <c r="E332" s="300"/>
      <c r="F332" s="302">
        <f ca="1">IF('W10'!$E$5=0,"",IF($C$4=$D$4,(IF(AND('R10'!$S$4="Multi",'R10'!$R$4="FY"),ROUND(((1+'R10'!$M12)^('W10'!$B$20+1)*'W10'!$E$9+(1+'R10'!$M12)^('W10'!$B$20+3)*'W10'!$E$10)/'W10'!$E$5*'R10'!$E12,0),(IF(AND('R10'!$S$4="Multi",'R10'!$R$4="PY"),ROUND('R10'!$E12*((1+'R10'!$M12)^2)/'W10'!$E$5*'W10'!$E$5,0),(IF(AND('R10'!$S$4&lt;&gt;"Multi",'R10'!$R$4="FY"),ROUND(((1+'R10'!$S$4)^('W10'!$B$20+1)*'W10'!$E$9+(1+'R10'!$S$4)^('W10'!$B$20+2)*'W10'!$E$10)/'W10'!$E$5*'R10'!$E12,0),ROUND('R10'!$E12*((1+'R10'!$S$4)^2)/'W10'!$E$5*'W10'!$E$5,0))))))),(IF(AND('R10'!$S$4="Multi",'R10'!$R$4="FY"),ROUND(((1+'R10'!$M12)^('W10'!$B$20+2)*'W10'!$E$9+(1+'R10'!$M12)^('W10'!$B$20+3)*'W10'!$E$10)/'W10'!$E$5*'R10'!$E12,0),(IF(AND('R10'!$S$4="Multi",'R10'!$R$4="PY"),ROUND('R10'!$E12*((1+'R10'!$M12)^2)/'W10'!$E$5*'W10'!$E$5,0),(IF(AND('R10'!$S$4&lt;&gt;"Multi",'R10'!$R$4="FY"),ROUND(((1+'R10'!$S$4)^('W10'!$B$20+2)*'W10'!$E$9+(1+'R10'!$S$4)^('W10'!$B$20+3)*'W10'!$E$10)/'W10'!$E$5*'R10'!$E12,0),ROUND('R10'!$E12*((1+'R10'!$S$4)^2)/'W10'!$E$5*'W10'!$E$5,0)))))))))</f>
        <v>0</v>
      </c>
      <c r="G332" s="300"/>
      <c r="H332" s="302">
        <f ca="1">IF('W10'!$F$5=0,"",IF($C$4=$D$4,(IF(AND('R10'!$S$4="Multi",'R10'!$R$4="FY"),ROUND(((1+'R10'!$M12)^('W10'!$B$20+2)*'W10'!$F$9+(1+'R10'!$M12)^('W10'!$B$20+3)*'W10'!$F$10)/'W10'!$F$5*'R10'!$E12,0),(IF(AND('R10'!$S$4="Multi",'R10'!$R$4="PY"),ROUND('R10'!$E12*((1+'R10'!$M12)^3)/'W10'!$F$5*'W10'!$F$5,0),(IF(AND('R10'!$S$4&lt;&gt;"Multi",'R10'!$R$4="FY"),ROUND(((1+'R10'!$S$4)^('W10'!$B$20+2)*'W10'!$F$9+(1+'R10'!$S$4)^('W10'!$B$20+3)*'W10'!$F$10)/'W10'!$F$5*'R10'!$E12,0),ROUND('R10'!$E12*((1+'R10'!$S$4)^3)/'W10'!$F$5*'W10'!$F$5,0))))))),(IF(AND('R10'!$S$4="Multi",'R10'!$R$4="FY"),ROUND(((1+'R10'!$M12)^('W10'!$B$20+3)*'W10'!$F$9+(1+'R10'!$M12)^('W10'!$B$20+4)*'W10'!$F$10)/'W10'!$F$5*'R10'!$E12,0),(IF(AND('R10'!$S$4="Multi",'R10'!$R$4="PY"),ROUND('R10'!$E12*((1+'R10'!$M12)^3)/'W10'!$F$5*'W10'!$F$5,0),(IF(AND('R10'!$S$4&lt;&gt;"Multi",'R10'!$R$4="FY"),ROUND(((1+'R10'!$S$4)^('W10'!$B$20+3)*'W10'!$F$9+(1+'R10'!$S$4)^('W10'!$B$20+4)*'W10'!$F$10)/'W10'!$F$5*'R10'!$E12,0),ROUND('R10'!$E12*((1+'R10'!$S$4)^3)/'W10'!$F$5*'W10'!$F$5,0)))))))))</f>
        <v>0</v>
      </c>
      <c r="I332" s="300"/>
      <c r="J332" s="302">
        <f ca="1">IF('W10'!$G$5=0,"",IF($C$4=$D$4,(IF(AND('R10'!$S$4="Multi",'R10'!$R$4="FY"),ROUND(((1+'R10'!$M12)^('W10'!$B$20+3)*'W10'!$G$9+(1+'R10'!$M12)^('W10'!$B$20+4)*'W10'!$G$10)/'W10'!$G$5*'R10'!$E12,0),(IF(AND('R10'!$S$4="Multi",'R10'!$R$4="PY"),ROUND('R10'!$E12*((1+'R10'!$M12)^4)/'W10'!$G$5*'W10'!$G$5,0),(IF(AND('R10'!$S$4&lt;&gt;"Multi",'R10'!$R$4="FY"),ROUND(((1+'R10'!$S$4)^('W10'!$B$20+3)*'W10'!$G$9+(1+'R10'!$S$4)^('W10'!$B$20+4)*'W10'!$G$10)/'W10'!$G$5*'R10'!$E12,0),ROUND('R10'!$E12*((1+'R10'!$S$4)^4)/'W10'!$G$5*'W10'!$G$5,0))))))),(IF(AND('R10'!$S$4="Multi",'R10'!$R$4="FY"),ROUND(((1+'R10'!$M12)^('W10'!$B$20+4)*'W10'!$G$9+(1+'R10'!$M12)^('W10'!$B$20+5)*'W10'!$G$10)/'W10'!$G$5*'R10'!$E12,0),(IF(AND('R10'!$S$4="Multi",'R10'!$R$4="PY"),ROUND('R10'!$E12*((1+'R10'!$M12)^4)/'W10'!$G$5*'W10'!$G$5,0),(IF(AND('R10'!$S$4&lt;&gt;"Multi",'R10'!$R$4="FY"),ROUND(((1+'R10'!$S$4)^('W10'!$B$20+4)*'W10'!$G$9+(1+'R10'!$S$4)^('W10'!$B$20+5)*'W10'!$G$10)/'W10'!$G$5*'R10'!$E12,0),ROUND('R10'!$E12*((1+'R10'!$S$4)^4)/'W10'!$G$5*'W10'!$G$5,0)))))))))</f>
        <v>0</v>
      </c>
      <c r="K332" s="300"/>
    </row>
    <row r="333" spans="1:11" x14ac:dyDescent="0.2">
      <c r="A333" s="82">
        <f>'P10'!B8</f>
        <v>0</v>
      </c>
      <c r="B333" s="302">
        <f ca="1">IF('W10'!$C$5=0,"",IF(AND('R10'!$S$4="Multi",'R10'!$R$4="FY"),ROUND(((1+'R10'!$M13)^'W10'!$B$20*'W10'!$C$9+(1+'R10'!$M13)^('W10'!$B$20+1)*'W10'!$C$10)/('W10'!$C$5)*'R10'!$E13,0),(IF(AND('R10'!$S$4="Multi",'R10'!$R$4="PY"),ROUND('R10'!$E13/('W10'!$C$5)*'W10'!$C$5,0),(IF(AND('R10'!$S$4&lt;&gt;"Multi",'R10'!$R$4="FY"),ROUND(((1+'R10'!$S$4)^'W10'!$B$20*'W10'!$C$9+(1+'R10'!$S$4)^('W10'!$B$20+1)*'W10'!$C$10)/'W10'!$C$5*'R10'!$E13,0),ROUND('R10'!$E13/'W10'!$C$5*'W10'!$C$5,0)))))))</f>
        <v>0</v>
      </c>
      <c r="C333" s="300"/>
      <c r="D333" s="302">
        <f ca="1">IF('W10'!$D$5=0,"",IF($C$4=$D$4,(IF(AND('R10'!$S$4="Multi",'R10'!$R$4="FY"),ROUND(((1+'R10'!$M13)^('W10'!$B$20)*'W10'!$D$9+(1+'R10'!$M13)^('W10'!$B$20+1)*'W10'!$D$10)/'W10'!$D$5*'R10'!$E13,0),(IF(AND('R10'!$S$4="Multi",'R10'!$R$4="PY"),ROUND('R10'!$E13*(1+'R10'!$M13)/'W10'!$D$5*'W10'!$D$5,0),(IF(AND('R10'!$S$4&lt;&gt;"Multi",'R10'!$R$4="FY"),ROUND(((1+'R10'!$S$4)^('W10'!$B$20)*'W10'!$D$9+(1+'R10'!$S$4)^('W10'!$B$20+1)*'W10'!$D$10)/'W10'!$D$5*'R10'!$E13,0),ROUND('R10'!$E13*(1+'R10'!$S$4)/'W10'!$D$5*'W10'!$D$5,0))))))),(IF(AND('R10'!$S$4="Multi",'R10'!$R$4="FY"),ROUND(((1+'R10'!$M13)^('W10'!$B$20+1)*'W10'!$D$9+(1+'R10'!$M13)^('W10'!$B$20+2)*'W10'!$D$10)/'W10'!$D$5*'R10'!$E13,0),(IF(AND('R10'!$S$4="Multi",'R10'!$R$4="PY"),ROUND('R10'!$E13*(1+'R10'!$M13)/'W10'!$D$5*'W10'!$D$5,0),(IF(AND('R10'!$S$4&lt;&gt;"Multi",'R10'!$R$4="FY"),ROUND(((1+'R10'!$S$4)^('W10'!$B$20+1)*'W10'!$D$9+(1+'R10'!$S$4)^('W10'!$B$20+2)*'W10'!$D$10)/'W10'!$D$5*'R10'!$E13,0),ROUND('R10'!$E13*(1+'R10'!$S$4)/'W10'!$D$5*'W10'!$D$5,0)))))))))</f>
        <v>0</v>
      </c>
      <c r="E333" s="300"/>
      <c r="F333" s="302">
        <f ca="1">IF('W10'!$E$5=0,"",IF($C$4=$D$4,(IF(AND('R10'!$S$4="Multi",'R10'!$R$4="FY"),ROUND(((1+'R10'!$M13)^('W10'!$B$20+1)*'W10'!$E$9+(1+'R10'!$M13)^('W10'!$B$20+3)*'W10'!$E$10)/'W10'!$E$5*'R10'!$E13,0),(IF(AND('R10'!$S$4="Multi",'R10'!$R$4="PY"),ROUND('R10'!$E13*((1+'R10'!$M13)^2)/'W10'!$E$5*'W10'!$E$5,0),(IF(AND('R10'!$S$4&lt;&gt;"Multi",'R10'!$R$4="FY"),ROUND(((1+'R10'!$S$4)^('W10'!$B$20+1)*'W10'!$E$9+(1+'R10'!$S$4)^('W10'!$B$20+2)*'W10'!$E$10)/'W10'!$E$5*'R10'!$E13,0),ROUND('R10'!$E13*((1+'R10'!$S$4)^2)/'W10'!$E$5*'W10'!$E$5,0))))))),(IF(AND('R10'!$S$4="Multi",'R10'!$R$4="FY"),ROUND(((1+'R10'!$M13)^('W10'!$B$20+2)*'W10'!$E$9+(1+'R10'!$M13)^('W10'!$B$20+3)*'W10'!$E$10)/'W10'!$E$5*'R10'!$E13,0),(IF(AND('R10'!$S$4="Multi",'R10'!$R$4="PY"),ROUND('R10'!$E13*((1+'R10'!$M13)^2)/'W10'!$E$5*'W10'!$E$5,0),(IF(AND('R10'!$S$4&lt;&gt;"Multi",'R10'!$R$4="FY"),ROUND(((1+'R10'!$S$4)^('W10'!$B$20+2)*'W10'!$E$9+(1+'R10'!$S$4)^('W10'!$B$20+3)*'W10'!$E$10)/'W10'!$E$5*'R10'!$E13,0),ROUND('R10'!$E13*((1+'R10'!$S$4)^2)/'W10'!$E$5*'W10'!$E$5,0)))))))))</f>
        <v>0</v>
      </c>
      <c r="G333" s="300"/>
      <c r="H333" s="302">
        <f ca="1">IF('W10'!$F$5=0,"",IF($C$4=$D$4,(IF(AND('R10'!$S$4="Multi",'R10'!$R$4="FY"),ROUND(((1+'R10'!$M13)^('W10'!$B$20+2)*'W10'!$F$9+(1+'R10'!$M13)^('W10'!$B$20+3)*'W10'!$F$10)/'W10'!$F$5*'R10'!$E13,0),(IF(AND('R10'!$S$4="Multi",'R10'!$R$4="PY"),ROUND('R10'!$E13*((1+'R10'!$M13)^3)/'W10'!$F$5*'W10'!$F$5,0),(IF(AND('R10'!$S$4&lt;&gt;"Multi",'R10'!$R$4="FY"),ROUND(((1+'R10'!$S$4)^('W10'!$B$20+2)*'W10'!$F$9+(1+'R10'!$S$4)^('W10'!$B$20+3)*'W10'!$F$10)/'W10'!$F$5*'R10'!$E13,0),ROUND('R10'!$E13*((1+'R10'!$S$4)^3)/'W10'!$F$5*'W10'!$F$5,0))))))),(IF(AND('R10'!$S$4="Multi",'R10'!$R$4="FY"),ROUND(((1+'R10'!$M13)^('W10'!$B$20+3)*'W10'!$F$9+(1+'R10'!$M13)^('W10'!$B$20+4)*'W10'!$F$10)/'W10'!$F$5*'R10'!$E13,0),(IF(AND('R10'!$S$4="Multi",'R10'!$R$4="PY"),ROUND('R10'!$E13*((1+'R10'!$M13)^3)/'W10'!$F$5*'W10'!$F$5,0),(IF(AND('R10'!$S$4&lt;&gt;"Multi",'R10'!$R$4="FY"),ROUND(((1+'R10'!$S$4)^('W10'!$B$20+3)*'W10'!$F$9+(1+'R10'!$S$4)^('W10'!$B$20+4)*'W10'!$F$10)/'W10'!$F$5*'R10'!$E13,0),ROUND('R10'!$E13*((1+'R10'!$S$4)^3)/'W10'!$F$5*'W10'!$F$5,0)))))))))</f>
        <v>0</v>
      </c>
      <c r="I333" s="300"/>
      <c r="J333" s="302">
        <f ca="1">IF('W10'!$G$5=0,"",IF($C$4=$D$4,(IF(AND('R10'!$S$4="Multi",'R10'!$R$4="FY"),ROUND(((1+'R10'!$M13)^('W10'!$B$20+3)*'W10'!$G$9+(1+'R10'!$M13)^('W10'!$B$20+4)*'W10'!$G$10)/'W10'!$G$5*'R10'!$E13,0),(IF(AND('R10'!$S$4="Multi",'R10'!$R$4="PY"),ROUND('R10'!$E13*((1+'R10'!$M13)^4)/'W10'!$G$5*'W10'!$G$5,0),(IF(AND('R10'!$S$4&lt;&gt;"Multi",'R10'!$R$4="FY"),ROUND(((1+'R10'!$S$4)^('W10'!$B$20+3)*'W10'!$G$9+(1+'R10'!$S$4)^('W10'!$B$20+4)*'W10'!$G$10)/'W10'!$G$5*'R10'!$E13,0),ROUND('R10'!$E13*((1+'R10'!$S$4)^4)/'W10'!$G$5*'W10'!$G$5,0))))))),(IF(AND('R10'!$S$4="Multi",'R10'!$R$4="FY"),ROUND(((1+'R10'!$M13)^('W10'!$B$20+4)*'W10'!$G$9+(1+'R10'!$M13)^('W10'!$B$20+5)*'W10'!$G$10)/'W10'!$G$5*'R10'!$E13,0),(IF(AND('R10'!$S$4="Multi",'R10'!$R$4="PY"),ROUND('R10'!$E13*((1+'R10'!$M13)^4)/'W10'!$G$5*'W10'!$G$5,0),(IF(AND('R10'!$S$4&lt;&gt;"Multi",'R10'!$R$4="FY"),ROUND(((1+'R10'!$S$4)^('W10'!$B$20+4)*'W10'!$G$9+(1+'R10'!$S$4)^('W10'!$B$20+5)*'W10'!$G$10)/'W10'!$G$5*'R10'!$E13,0),ROUND('R10'!$E13*((1+'R10'!$S$4)^4)/'W10'!$G$5*'W10'!$G$5,0)))))))))</f>
        <v>0</v>
      </c>
      <c r="K333" s="300"/>
    </row>
    <row r="334" spans="1:11" x14ac:dyDescent="0.2">
      <c r="A334" s="82">
        <f>'P10'!B9</f>
        <v>0</v>
      </c>
      <c r="B334" s="302">
        <f ca="1">IF('W10'!$C$5=0,"",IF(AND('R10'!$S$4="Multi",'R10'!$R$4="FY"),ROUND(((1+'R10'!$M14)^'W10'!$B$20*'W10'!$C$9+(1+'R10'!$M14)^('W10'!$B$20+1)*'W10'!$C$10)/('W10'!$C$5)*'R10'!$E14,0),(IF(AND('R10'!$S$4="Multi",'R10'!$R$4="PY"),ROUND('R10'!$E14/('W10'!$C$5)*'W10'!$C$5,0),(IF(AND('R10'!$S$4&lt;&gt;"Multi",'R10'!$R$4="FY"),ROUND(((1+'R10'!$S$4)^'W10'!$B$20*'W10'!$C$9+(1+'R10'!$S$4)^('W10'!$B$20+1)*'W10'!$C$10)/'W10'!$C$5*'R10'!$E14,0),ROUND('R10'!$E14/'W10'!$C$5*'W10'!$C$5,0)))))))</f>
        <v>0</v>
      </c>
      <c r="C334" s="300"/>
      <c r="D334" s="302">
        <f ca="1">IF('W10'!$D$5=0,"",IF($C$4=$D$4,(IF(AND('R10'!$S$4="Multi",'R10'!$R$4="FY"),ROUND(((1+'R10'!$M14)^('W10'!$B$20)*'W10'!$D$9+(1+'R10'!$M14)^('W10'!$B$20+1)*'W10'!$D$10)/'W10'!$D$5*'R10'!$E14,0),(IF(AND('R10'!$S$4="Multi",'R10'!$R$4="PY"),ROUND('R10'!$E14*(1+'R10'!$M14)/'W10'!$D$5*'W10'!$D$5,0),(IF(AND('R10'!$S$4&lt;&gt;"Multi",'R10'!$R$4="FY"),ROUND(((1+'R10'!$S$4)^('W10'!$B$20)*'W10'!$D$9+(1+'R10'!$S$4)^('W10'!$B$20+1)*'W10'!$D$10)/'W10'!$D$5*'R10'!$E14,0),ROUND('R10'!$E14*(1+'R10'!$S$4)/'W10'!$D$5*'W10'!$D$5,0))))))),(IF(AND('R10'!$S$4="Multi",'R10'!$R$4="FY"),ROUND(((1+'R10'!$M14)^('W10'!$B$20+1)*'W10'!$D$9+(1+'R10'!$M14)^('W10'!$B$20+2)*'W10'!$D$10)/'W10'!$D$5*'R10'!$E14,0),(IF(AND('R10'!$S$4="Multi",'R10'!$R$4="PY"),ROUND('R10'!$E14*(1+'R10'!$M14)/'W10'!$D$5*'W10'!$D$5,0),(IF(AND('R10'!$S$4&lt;&gt;"Multi",'R10'!$R$4="FY"),ROUND(((1+'R10'!$S$4)^('W10'!$B$20+1)*'W10'!$D$9+(1+'R10'!$S$4)^('W10'!$B$20+2)*'W10'!$D$10)/'W10'!$D$5*'R10'!$E14,0),ROUND('R10'!$E14*(1+'R10'!$S$4)/'W10'!$D$5*'W10'!$D$5,0)))))))))</f>
        <v>0</v>
      </c>
      <c r="E334" s="300"/>
      <c r="F334" s="302">
        <f ca="1">IF('W10'!$E$5=0,"",IF($C$4=$D$4,(IF(AND('R10'!$S$4="Multi",'R10'!$R$4="FY"),ROUND(((1+'R10'!$M14)^('W10'!$B$20+1)*'W10'!$E$9+(1+'R10'!$M14)^('W10'!$B$20+3)*'W10'!$E$10)/'W10'!$E$5*'R10'!$E14,0),(IF(AND('R10'!$S$4="Multi",'R10'!$R$4="PY"),ROUND('R10'!$E14*((1+'R10'!$M14)^2)/'W10'!$E$5*'W10'!$E$5,0),(IF(AND('R10'!$S$4&lt;&gt;"Multi",'R10'!$R$4="FY"),ROUND(((1+'R10'!$S$4)^('W10'!$B$20+1)*'W10'!$E$9+(1+'R10'!$S$4)^('W10'!$B$20+2)*'W10'!$E$10)/'W10'!$E$5*'R10'!$E14,0),ROUND('R10'!$E14*((1+'R10'!$S$4)^2)/'W10'!$E$5*'W10'!$E$5,0))))))),(IF(AND('R10'!$S$4="Multi",'R10'!$R$4="FY"),ROUND(((1+'R10'!$M14)^('W10'!$B$20+2)*'W10'!$E$9+(1+'R10'!$M14)^('W10'!$B$20+3)*'W10'!$E$10)/'W10'!$E$5*'R10'!$E14,0),(IF(AND('R10'!$S$4="Multi",'R10'!$R$4="PY"),ROUND('R10'!$E14*((1+'R10'!$M14)^2)/'W10'!$E$5*'W10'!$E$5,0),(IF(AND('R10'!$S$4&lt;&gt;"Multi",'R10'!$R$4="FY"),ROUND(((1+'R10'!$S$4)^('W10'!$B$20+2)*'W10'!$E$9+(1+'R10'!$S$4)^('W10'!$B$20+3)*'W10'!$E$10)/'W10'!$E$5*'R10'!$E14,0),ROUND('R10'!$E14*((1+'R10'!$S$4)^2)/'W10'!$E$5*'W10'!$E$5,0)))))))))</f>
        <v>0</v>
      </c>
      <c r="G334" s="300"/>
      <c r="H334" s="302">
        <f ca="1">IF('W10'!$F$5=0,"",IF($C$4=$D$4,(IF(AND('R10'!$S$4="Multi",'R10'!$R$4="FY"),ROUND(((1+'R10'!$M14)^('W10'!$B$20+2)*'W10'!$F$9+(1+'R10'!$M14)^('W10'!$B$20+3)*'W10'!$F$10)/'W10'!$F$5*'R10'!$E14,0),(IF(AND('R10'!$S$4="Multi",'R10'!$R$4="PY"),ROUND('R10'!$E14*((1+'R10'!$M14)^3)/'W10'!$F$5*'W10'!$F$5,0),(IF(AND('R10'!$S$4&lt;&gt;"Multi",'R10'!$R$4="FY"),ROUND(((1+'R10'!$S$4)^('W10'!$B$20+2)*'W10'!$F$9+(1+'R10'!$S$4)^('W10'!$B$20+3)*'W10'!$F$10)/'W10'!$F$5*'R10'!$E14,0),ROUND('R10'!$E14*((1+'R10'!$S$4)^3)/'W10'!$F$5*'W10'!$F$5,0))))))),(IF(AND('R10'!$S$4="Multi",'R10'!$R$4="FY"),ROUND(((1+'R10'!$M14)^('W10'!$B$20+3)*'W10'!$F$9+(1+'R10'!$M14)^('W10'!$B$20+4)*'W10'!$F$10)/'W10'!$F$5*'R10'!$E14,0),(IF(AND('R10'!$S$4="Multi",'R10'!$R$4="PY"),ROUND('R10'!$E14*((1+'R10'!$M14)^3)/'W10'!$F$5*'W10'!$F$5,0),(IF(AND('R10'!$S$4&lt;&gt;"Multi",'R10'!$R$4="FY"),ROUND(((1+'R10'!$S$4)^('W10'!$B$20+3)*'W10'!$F$9+(1+'R10'!$S$4)^('W10'!$B$20+4)*'W10'!$F$10)/'W10'!$F$5*'R10'!$E14,0),ROUND('R10'!$E14*((1+'R10'!$S$4)^3)/'W10'!$F$5*'W10'!$F$5,0)))))))))</f>
        <v>0</v>
      </c>
      <c r="I334" s="300"/>
      <c r="J334" s="302">
        <f ca="1">IF('W10'!$G$5=0,"",IF($C$4=$D$4,(IF(AND('R10'!$S$4="Multi",'R10'!$R$4="FY"),ROUND(((1+'R10'!$M14)^('W10'!$B$20+3)*'W10'!$G$9+(1+'R10'!$M14)^('W10'!$B$20+4)*'W10'!$G$10)/'W10'!$G$5*'R10'!$E14,0),(IF(AND('R10'!$S$4="Multi",'R10'!$R$4="PY"),ROUND('R10'!$E14*((1+'R10'!$M14)^4)/'W10'!$G$5*'W10'!$G$5,0),(IF(AND('R10'!$S$4&lt;&gt;"Multi",'R10'!$R$4="FY"),ROUND(((1+'R10'!$S$4)^('W10'!$B$20+3)*'W10'!$G$9+(1+'R10'!$S$4)^('W10'!$B$20+4)*'W10'!$G$10)/'W10'!$G$5*'R10'!$E14,0),ROUND('R10'!$E14*((1+'R10'!$S$4)^4)/'W10'!$G$5*'W10'!$G$5,0))))))),(IF(AND('R10'!$S$4="Multi",'R10'!$R$4="FY"),ROUND(((1+'R10'!$M14)^('W10'!$B$20+4)*'W10'!$G$9+(1+'R10'!$M14)^('W10'!$B$20+5)*'W10'!$G$10)/'W10'!$G$5*'R10'!$E14,0),(IF(AND('R10'!$S$4="Multi",'R10'!$R$4="PY"),ROUND('R10'!$E14*((1+'R10'!$M14)^4)/'W10'!$G$5*'W10'!$G$5,0),(IF(AND('R10'!$S$4&lt;&gt;"Multi",'R10'!$R$4="FY"),ROUND(((1+'R10'!$S$4)^('W10'!$B$20+4)*'W10'!$G$9+(1+'R10'!$S$4)^('W10'!$B$20+5)*'W10'!$G$10)/'W10'!$G$5*'R10'!$E14,0),ROUND('R10'!$E14*((1+'R10'!$S$4)^4)/'W10'!$G$5*'W10'!$G$5,0)))))))))</f>
        <v>0</v>
      </c>
      <c r="K334" s="300"/>
    </row>
    <row r="335" spans="1:11" x14ac:dyDescent="0.2">
      <c r="A335" s="82">
        <f>'P10'!B10</f>
        <v>0</v>
      </c>
      <c r="B335" s="302">
        <f ca="1">IF('W10'!$C$5=0,"",IF(AND('R10'!$S$4="Multi",'R10'!$R$4="FY"),ROUND(((1+'R10'!$M15)^'W10'!$B$20*'W10'!$C$9+(1+'R10'!$M15)^('W10'!$B$20+1)*'W10'!$C$10)/('W10'!$C$5)*'R10'!$E15,0),(IF(AND('R10'!$S$4="Multi",'R10'!$R$4="PY"),ROUND('R10'!$E15/('W10'!$C$5)*'W10'!$C$5,0),(IF(AND('R10'!$S$4&lt;&gt;"Multi",'R10'!$R$4="FY"),ROUND(((1+'R10'!$S$4)^'W10'!$B$20*'W10'!$C$9+(1+'R10'!$S$4)^('W10'!$B$20+1)*'W10'!$C$10)/'W10'!$C$5*'R10'!$E15,0),ROUND('R10'!$E15/'W10'!$C$5*'W10'!$C$5,0)))))))</f>
        <v>0</v>
      </c>
      <c r="C335" s="300"/>
      <c r="D335" s="302">
        <f ca="1">IF('W10'!$D$5=0,"",IF($C$4=$D$4,(IF(AND('R10'!$S$4="Multi",'R10'!$R$4="FY"),ROUND(((1+'R10'!$M15)^('W10'!$B$20)*'W10'!$D$9+(1+'R10'!$M15)^('W10'!$B$20+1)*'W10'!$D$10)/'W10'!$D$5*'R10'!$E15,0),(IF(AND('R10'!$S$4="Multi",'R10'!$R$4="PY"),ROUND('R10'!$E15*(1+'R10'!$M15)/'W10'!$D$5*'W10'!$D$5,0),(IF(AND('R10'!$S$4&lt;&gt;"Multi",'R10'!$R$4="FY"),ROUND(((1+'R10'!$S$4)^('W10'!$B$20)*'W10'!$D$9+(1+'R10'!$S$4)^('W10'!$B$20+1)*'W10'!$D$10)/'W10'!$D$5*'R10'!$E15,0),ROUND('R10'!$E15*(1+'R10'!$S$4)/'W10'!$D$5*'W10'!$D$5,0))))))),(IF(AND('R10'!$S$4="Multi",'R10'!$R$4="FY"),ROUND(((1+'R10'!$M15)^('W10'!$B$20+1)*'W10'!$D$9+(1+'R10'!$M15)^('W10'!$B$20+2)*'W10'!$D$10)/'W10'!$D$5*'R10'!$E15,0),(IF(AND('R10'!$S$4="Multi",'R10'!$R$4="PY"),ROUND('R10'!$E15*(1+'R10'!$M15)/'W10'!$D$5*'W10'!$D$5,0),(IF(AND('R10'!$S$4&lt;&gt;"Multi",'R10'!$R$4="FY"),ROUND(((1+'R10'!$S$4)^('W10'!$B$20+1)*'W10'!$D$9+(1+'R10'!$S$4)^('W10'!$B$20+2)*'W10'!$D$10)/'W10'!$D$5*'R10'!$E15,0),ROUND('R10'!$E15*(1+'R10'!$S$4)/'W10'!$D$5*'W10'!$D$5,0)))))))))</f>
        <v>0</v>
      </c>
      <c r="E335" s="300"/>
      <c r="F335" s="302">
        <f ca="1">IF('W10'!$E$5=0,"",IF($C$4=$D$4,(IF(AND('R10'!$S$4="Multi",'R10'!$R$4="FY"),ROUND(((1+'R10'!$M15)^('W10'!$B$20+1)*'W10'!$E$9+(1+'R10'!$M15)^('W10'!$B$20+3)*'W10'!$E$10)/'W10'!$E$5*'R10'!$E15,0),(IF(AND('R10'!$S$4="Multi",'R10'!$R$4="PY"),ROUND('R10'!$E15*((1+'R10'!$M15)^2)/'W10'!$E$5*'W10'!$E$5,0),(IF(AND('R10'!$S$4&lt;&gt;"Multi",'R10'!$R$4="FY"),ROUND(((1+'R10'!$S$4)^('W10'!$B$20+1)*'W10'!$E$9+(1+'R10'!$S$4)^('W10'!$B$20+2)*'W10'!$E$10)/'W10'!$E$5*'R10'!$E15,0),ROUND('R10'!$E15*((1+'R10'!$S$4)^2)/'W10'!$E$5*'W10'!$E$5,0))))))),(IF(AND('R10'!$S$4="Multi",'R10'!$R$4="FY"),ROUND(((1+'R10'!$M15)^('W10'!$B$20+2)*'W10'!$E$9+(1+'R10'!$M15)^('W10'!$B$20+3)*'W10'!$E$10)/'W10'!$E$5*'R10'!$E15,0),(IF(AND('R10'!$S$4="Multi",'R10'!$R$4="PY"),ROUND('R10'!$E15*((1+'R10'!$M15)^2)/'W10'!$E$5*'W10'!$E$5,0),(IF(AND('R10'!$S$4&lt;&gt;"Multi",'R10'!$R$4="FY"),ROUND(((1+'R10'!$S$4)^('W10'!$B$20+2)*'W10'!$E$9+(1+'R10'!$S$4)^('W10'!$B$20+3)*'W10'!$E$10)/'W10'!$E$5*'R10'!$E15,0),ROUND('R10'!$E15*((1+'R10'!$S$4)^2)/'W10'!$E$5*'W10'!$E$5,0)))))))))</f>
        <v>0</v>
      </c>
      <c r="G335" s="300"/>
      <c r="H335" s="302">
        <f ca="1">IF('W10'!$F$5=0,"",IF($C$4=$D$4,(IF(AND('R10'!$S$4="Multi",'R10'!$R$4="FY"),ROUND(((1+'R10'!$M15)^('W10'!$B$20+2)*'W10'!$F$9+(1+'R10'!$M15)^('W10'!$B$20+3)*'W10'!$F$10)/'W10'!$F$5*'R10'!$E15,0),(IF(AND('R10'!$S$4="Multi",'R10'!$R$4="PY"),ROUND('R10'!$E15*((1+'R10'!$M15)^3)/'W10'!$F$5*'W10'!$F$5,0),(IF(AND('R10'!$S$4&lt;&gt;"Multi",'R10'!$R$4="FY"),ROUND(((1+'R10'!$S$4)^('W10'!$B$20+2)*'W10'!$F$9+(1+'R10'!$S$4)^('W10'!$B$20+3)*'W10'!$F$10)/'W10'!$F$5*'R10'!$E15,0),ROUND('R10'!$E15*((1+'R10'!$S$4)^3)/'W10'!$F$5*'W10'!$F$5,0))))))),(IF(AND('R10'!$S$4="Multi",'R10'!$R$4="FY"),ROUND(((1+'R10'!$M15)^('W10'!$B$20+3)*'W10'!$F$9+(1+'R10'!$M15)^('W10'!$B$20+4)*'W10'!$F$10)/'W10'!$F$5*'R10'!$E15,0),(IF(AND('R10'!$S$4="Multi",'R10'!$R$4="PY"),ROUND('R10'!$E15*((1+'R10'!$M15)^3)/'W10'!$F$5*'W10'!$F$5,0),(IF(AND('R10'!$S$4&lt;&gt;"Multi",'R10'!$R$4="FY"),ROUND(((1+'R10'!$S$4)^('W10'!$B$20+3)*'W10'!$F$9+(1+'R10'!$S$4)^('W10'!$B$20+4)*'W10'!$F$10)/'W10'!$F$5*'R10'!$E15,0),ROUND('R10'!$E15*((1+'R10'!$S$4)^3)/'W10'!$F$5*'W10'!$F$5,0)))))))))</f>
        <v>0</v>
      </c>
      <c r="I335" s="300"/>
      <c r="J335" s="302">
        <f ca="1">IF('W10'!$G$5=0,"",IF($C$4=$D$4,(IF(AND('R10'!$S$4="Multi",'R10'!$R$4="FY"),ROUND(((1+'R10'!$M15)^('W10'!$B$20+3)*'W10'!$G$9+(1+'R10'!$M15)^('W10'!$B$20+4)*'W10'!$G$10)/'W10'!$G$5*'R10'!$E15,0),(IF(AND('R10'!$S$4="Multi",'R10'!$R$4="PY"),ROUND('R10'!$E15*((1+'R10'!$M15)^4)/'W10'!$G$5*'W10'!$G$5,0),(IF(AND('R10'!$S$4&lt;&gt;"Multi",'R10'!$R$4="FY"),ROUND(((1+'R10'!$S$4)^('W10'!$B$20+3)*'W10'!$G$9+(1+'R10'!$S$4)^('W10'!$B$20+4)*'W10'!$G$10)/'W10'!$G$5*'R10'!$E15,0),ROUND('R10'!$E15*((1+'R10'!$S$4)^4)/'W10'!$G$5*'W10'!$G$5,0))))))),(IF(AND('R10'!$S$4="Multi",'R10'!$R$4="FY"),ROUND(((1+'R10'!$M15)^('W10'!$B$20+4)*'W10'!$G$9+(1+'R10'!$M15)^('W10'!$B$20+5)*'W10'!$G$10)/'W10'!$G$5*'R10'!$E15,0),(IF(AND('R10'!$S$4="Multi",'R10'!$R$4="PY"),ROUND('R10'!$E15*((1+'R10'!$M15)^4)/'W10'!$G$5*'W10'!$G$5,0),(IF(AND('R10'!$S$4&lt;&gt;"Multi",'R10'!$R$4="FY"),ROUND(((1+'R10'!$S$4)^('W10'!$B$20+4)*'W10'!$G$9+(1+'R10'!$S$4)^('W10'!$B$20+5)*'W10'!$G$10)/'W10'!$G$5*'R10'!$E15,0),ROUND('R10'!$E15*((1+'R10'!$S$4)^4)/'W10'!$G$5*'W10'!$G$5,0)))))))))</f>
        <v>0</v>
      </c>
      <c r="K335" s="300"/>
    </row>
    <row r="336" spans="1:11" x14ac:dyDescent="0.2">
      <c r="A336" s="82">
        <f>'P10'!B11</f>
        <v>0</v>
      </c>
      <c r="B336" s="302">
        <f ca="1">IF('W10'!$C$5=0,"",IF(AND('R10'!$S$4="Multi",'R10'!$R$4="FY"),ROUND(((1+'R10'!$M16)^'W10'!$B$20*'W10'!$C$9+(1+'R10'!$M16)^('W10'!$B$20+1)*'W10'!$C$10)/('W10'!$C$5)*'R10'!$E16,0),(IF(AND('R10'!$S$4="Multi",'R10'!$R$4="PY"),ROUND('R10'!$E16/('W10'!$C$5)*'W10'!$C$5,0),(IF(AND('R10'!$S$4&lt;&gt;"Multi",'R10'!$R$4="FY"),ROUND(((1+'R10'!$S$4)^'W10'!$B$20*'W10'!$C$9+(1+'R10'!$S$4)^('W10'!$B$20+1)*'W10'!$C$10)/'W10'!$C$5*'R10'!$E16,0),ROUND('R10'!$E16/'W10'!$C$5*'W10'!$C$5,0)))))))</f>
        <v>0</v>
      </c>
      <c r="C336" s="300"/>
      <c r="D336" s="302">
        <f ca="1">IF('W10'!$D$5=0,"",IF($C$4=$D$4,(IF(AND('R10'!$S$4="Multi",'R10'!$R$4="FY"),ROUND(((1+'R10'!$M16)^('W10'!$B$20)*'W10'!$D$9+(1+'R10'!$M16)^('W10'!$B$20+1)*'W10'!$D$10)/'W10'!$D$5*'R10'!$E16,0),(IF(AND('R10'!$S$4="Multi",'R10'!$R$4="PY"),ROUND('R10'!$E16*(1+'R10'!$M16)/'W10'!$D$5*'W10'!$D$5,0),(IF(AND('R10'!$S$4&lt;&gt;"Multi",'R10'!$R$4="FY"),ROUND(((1+'R10'!$S$4)^('W10'!$B$20)*'W10'!$D$9+(1+'R10'!$S$4)^('W10'!$B$20+1)*'W10'!$D$10)/'W10'!$D$5*'R10'!$E16,0),ROUND('R10'!$E16*(1+'R10'!$S$4)/'W10'!$D$5*'W10'!$D$5,0))))))),(IF(AND('R10'!$S$4="Multi",'R10'!$R$4="FY"),ROUND(((1+'R10'!$M16)^('W10'!$B$20+1)*'W10'!$D$9+(1+'R10'!$M16)^('W10'!$B$20+2)*'W10'!$D$10)/'W10'!$D$5*'R10'!$E16,0),(IF(AND('R10'!$S$4="Multi",'R10'!$R$4="PY"),ROUND('R10'!$E16*(1+'R10'!$M16)/'W10'!$D$5*'W10'!$D$5,0),(IF(AND('R10'!$S$4&lt;&gt;"Multi",'R10'!$R$4="FY"),ROUND(((1+'R10'!$S$4)^('W10'!$B$20+1)*'W10'!$D$9+(1+'R10'!$S$4)^('W10'!$B$20+2)*'W10'!$D$10)/'W10'!$D$5*'R10'!$E16,0),ROUND('R10'!$E16*(1+'R10'!$S$4)/'W10'!$D$5*'W10'!$D$5,0)))))))))</f>
        <v>0</v>
      </c>
      <c r="E336" s="300"/>
      <c r="F336" s="302">
        <f ca="1">IF('W10'!$E$5=0,"",IF($C$4=$D$4,(IF(AND('R10'!$S$4="Multi",'R10'!$R$4="FY"),ROUND(((1+'R10'!$M16)^('W10'!$B$20+1)*'W10'!$E$9+(1+'R10'!$M16)^('W10'!$B$20+3)*'W10'!$E$10)/'W10'!$E$5*'R10'!$E16,0),(IF(AND('R10'!$S$4="Multi",'R10'!$R$4="PY"),ROUND('R10'!$E16*((1+'R10'!$M16)^2)/'W10'!$E$5*'W10'!$E$5,0),(IF(AND('R10'!$S$4&lt;&gt;"Multi",'R10'!$R$4="FY"),ROUND(((1+'R10'!$S$4)^('W10'!$B$20+1)*'W10'!$E$9+(1+'R10'!$S$4)^('W10'!$B$20+2)*'W10'!$E$10)/'W10'!$E$5*'R10'!$E16,0),ROUND('R10'!$E16*((1+'R10'!$S$4)^2)/'W10'!$E$5*'W10'!$E$5,0))))))),(IF(AND('R10'!$S$4="Multi",'R10'!$R$4="FY"),ROUND(((1+'R10'!$M16)^('W10'!$B$20+2)*'W10'!$E$9+(1+'R10'!$M16)^('W10'!$B$20+3)*'W10'!$E$10)/'W10'!$E$5*'R10'!$E16,0),(IF(AND('R10'!$S$4="Multi",'R10'!$R$4="PY"),ROUND('R10'!$E16*((1+'R10'!$M16)^2)/'W10'!$E$5*'W10'!$E$5,0),(IF(AND('R10'!$S$4&lt;&gt;"Multi",'R10'!$R$4="FY"),ROUND(((1+'R10'!$S$4)^('W10'!$B$20+2)*'W10'!$E$9+(1+'R10'!$S$4)^('W10'!$B$20+3)*'W10'!$E$10)/'W10'!$E$5*'R10'!$E16,0),ROUND('R10'!$E16*((1+'R10'!$S$4)^2)/'W10'!$E$5*'W10'!$E$5,0)))))))))</f>
        <v>0</v>
      </c>
      <c r="G336" s="300"/>
      <c r="H336" s="302">
        <f ca="1">IF('W10'!$F$5=0,"",IF($C$4=$D$4,(IF(AND('R10'!$S$4="Multi",'R10'!$R$4="FY"),ROUND(((1+'R10'!$M16)^('W10'!$B$20+2)*'W10'!$F$9+(1+'R10'!$M16)^('W10'!$B$20+3)*'W10'!$F$10)/'W10'!$F$5*'R10'!$E16,0),(IF(AND('R10'!$S$4="Multi",'R10'!$R$4="PY"),ROUND('R10'!$E16*((1+'R10'!$M16)^3)/'W10'!$F$5*'W10'!$F$5,0),(IF(AND('R10'!$S$4&lt;&gt;"Multi",'R10'!$R$4="FY"),ROUND(((1+'R10'!$S$4)^('W10'!$B$20+2)*'W10'!$F$9+(1+'R10'!$S$4)^('W10'!$B$20+3)*'W10'!$F$10)/'W10'!$F$5*'R10'!$E16,0),ROUND('R10'!$E16*((1+'R10'!$S$4)^3)/'W10'!$F$5*'W10'!$F$5,0))))))),(IF(AND('R10'!$S$4="Multi",'R10'!$R$4="FY"),ROUND(((1+'R10'!$M16)^('W10'!$B$20+3)*'W10'!$F$9+(1+'R10'!$M16)^('W10'!$B$20+4)*'W10'!$F$10)/'W10'!$F$5*'R10'!$E16,0),(IF(AND('R10'!$S$4="Multi",'R10'!$R$4="PY"),ROUND('R10'!$E16*((1+'R10'!$M16)^3)/'W10'!$F$5*'W10'!$F$5,0),(IF(AND('R10'!$S$4&lt;&gt;"Multi",'R10'!$R$4="FY"),ROUND(((1+'R10'!$S$4)^('W10'!$B$20+3)*'W10'!$F$9+(1+'R10'!$S$4)^('W10'!$B$20+4)*'W10'!$F$10)/'W10'!$F$5*'R10'!$E16,0),ROUND('R10'!$E16*((1+'R10'!$S$4)^3)/'W10'!$F$5*'W10'!$F$5,0)))))))))</f>
        <v>0</v>
      </c>
      <c r="I336" s="300"/>
      <c r="J336" s="302">
        <f ca="1">IF('W10'!$G$5=0,"",IF($C$4=$D$4,(IF(AND('R10'!$S$4="Multi",'R10'!$R$4="FY"),ROUND(((1+'R10'!$M16)^('W10'!$B$20+3)*'W10'!$G$9+(1+'R10'!$M16)^('W10'!$B$20+4)*'W10'!$G$10)/'W10'!$G$5*'R10'!$E16,0),(IF(AND('R10'!$S$4="Multi",'R10'!$R$4="PY"),ROUND('R10'!$E16*((1+'R10'!$M16)^4)/'W10'!$G$5*'W10'!$G$5,0),(IF(AND('R10'!$S$4&lt;&gt;"Multi",'R10'!$R$4="FY"),ROUND(((1+'R10'!$S$4)^('W10'!$B$20+3)*'W10'!$G$9+(1+'R10'!$S$4)^('W10'!$B$20+4)*'W10'!$G$10)/'W10'!$G$5*'R10'!$E16,0),ROUND('R10'!$E16*((1+'R10'!$S$4)^4)/'W10'!$G$5*'W10'!$G$5,0))))))),(IF(AND('R10'!$S$4="Multi",'R10'!$R$4="FY"),ROUND(((1+'R10'!$M16)^('W10'!$B$20+4)*'W10'!$G$9+(1+'R10'!$M16)^('W10'!$B$20+5)*'W10'!$G$10)/'W10'!$G$5*'R10'!$E16,0),(IF(AND('R10'!$S$4="Multi",'R10'!$R$4="PY"),ROUND('R10'!$E16*((1+'R10'!$M16)^4)/'W10'!$G$5*'W10'!$G$5,0),(IF(AND('R10'!$S$4&lt;&gt;"Multi",'R10'!$R$4="FY"),ROUND(((1+'R10'!$S$4)^('W10'!$B$20+4)*'W10'!$G$9+(1+'R10'!$S$4)^('W10'!$B$20+5)*'W10'!$G$10)/'W10'!$G$5*'R10'!$E16,0),ROUND('R10'!$E16*((1+'R10'!$S$4)^4)/'W10'!$G$5*'W10'!$G$5,0)))))))))</f>
        <v>0</v>
      </c>
      <c r="K336" s="300"/>
    </row>
    <row r="337" spans="1:11" x14ac:dyDescent="0.2">
      <c r="A337" s="82">
        <f>'P10'!B12</f>
        <v>0</v>
      </c>
      <c r="B337" s="302">
        <f ca="1">IF('W10'!$C$5=0,"",IF(AND('R10'!$S$4="Multi",'R10'!$R$4="FY"),ROUND(((1+'R10'!$M17)^'W10'!$B$20*'W10'!$C$9+(1+'R10'!$M17)^('W10'!$B$20+1)*'W10'!$C$10)/('W10'!$C$5)*'R10'!$E17,0),(IF(AND('R10'!$S$4="Multi",'R10'!$R$4="PY"),ROUND('R10'!$E17/('W10'!$C$5)*'W10'!$C$5,0),(IF(AND('R10'!$S$4&lt;&gt;"Multi",'R10'!$R$4="FY"),ROUND(((1+'R10'!$S$4)^'W10'!$B$20*'W10'!$C$9+(1+'R10'!$S$4)^('W10'!$B$20+1)*'W10'!$C$10)/'W10'!$C$5*'R10'!$E17,0),ROUND('R10'!$E17/'W10'!$C$5*'W10'!$C$5,0)))))))</f>
        <v>0</v>
      </c>
      <c r="C337" s="300"/>
      <c r="D337" s="302">
        <f ca="1">IF('W10'!$D$5=0,"",IF($C$4=$D$4,(IF(AND('R10'!$S$4="Multi",'R10'!$R$4="FY"),ROUND(((1+'R10'!$M17)^('W10'!$B$20)*'W10'!$D$9+(1+'R10'!$M17)^('W10'!$B$20+1)*'W10'!$D$10)/'W10'!$D$5*'R10'!$E17,0),(IF(AND('R10'!$S$4="Multi",'R10'!$R$4="PY"),ROUND('R10'!$E17*(1+'R10'!$M17)/'W10'!$D$5*'W10'!$D$5,0),(IF(AND('R10'!$S$4&lt;&gt;"Multi",'R10'!$R$4="FY"),ROUND(((1+'R10'!$S$4)^('W10'!$B$20)*'W10'!$D$9+(1+'R10'!$S$4)^('W10'!$B$20+1)*'W10'!$D$10)/'W10'!$D$5*'R10'!$E17,0),ROUND('R10'!$E17*(1+'R10'!$S$4)/'W10'!$D$5*'W10'!$D$5,0))))))),(IF(AND('R10'!$S$4="Multi",'R10'!$R$4="FY"),ROUND(((1+'R10'!$M17)^('W10'!$B$20+1)*'W10'!$D$9+(1+'R10'!$M17)^('W10'!$B$20+2)*'W10'!$D$10)/'W10'!$D$5*'R10'!$E17,0),(IF(AND('R10'!$S$4="Multi",'R10'!$R$4="PY"),ROUND('R10'!$E17*(1+'R10'!$M17)/'W10'!$D$5*'W10'!$D$5,0),(IF(AND('R10'!$S$4&lt;&gt;"Multi",'R10'!$R$4="FY"),ROUND(((1+'R10'!$S$4)^('W10'!$B$20+1)*'W10'!$D$9+(1+'R10'!$S$4)^('W10'!$B$20+2)*'W10'!$D$10)/'W10'!$D$5*'R10'!$E17,0),ROUND('R10'!$E17*(1+'R10'!$S$4)/'W10'!$D$5*'W10'!$D$5,0)))))))))</f>
        <v>0</v>
      </c>
      <c r="E337" s="300"/>
      <c r="F337" s="302">
        <f ca="1">IF('W10'!$E$5=0,"",IF($C$4=$D$4,(IF(AND('R10'!$S$4="Multi",'R10'!$R$4="FY"),ROUND(((1+'R10'!$M17)^('W10'!$B$20+1)*'W10'!$E$9+(1+'R10'!$M17)^('W10'!$B$20+3)*'W10'!$E$10)/'W10'!$E$5*'R10'!$E17,0),(IF(AND('R10'!$S$4="Multi",'R10'!$R$4="PY"),ROUND('R10'!$E17*((1+'R10'!$M17)^2)/'W10'!$E$5*'W10'!$E$5,0),(IF(AND('R10'!$S$4&lt;&gt;"Multi",'R10'!$R$4="FY"),ROUND(((1+'R10'!$S$4)^('W10'!$B$20+1)*'W10'!$E$9+(1+'R10'!$S$4)^('W10'!$B$20+2)*'W10'!$E$10)/'W10'!$E$5*'R10'!$E17,0),ROUND('R10'!$E17*((1+'R10'!$S$4)^2)/'W10'!$E$5*'W10'!$E$5,0))))))),(IF(AND('R10'!$S$4="Multi",'R10'!$R$4="FY"),ROUND(((1+'R10'!$M17)^('W10'!$B$20+2)*'W10'!$E$9+(1+'R10'!$M17)^('W10'!$B$20+3)*'W10'!$E$10)/'W10'!$E$5*'R10'!$E17,0),(IF(AND('R10'!$S$4="Multi",'R10'!$R$4="PY"),ROUND('R10'!$E17*((1+'R10'!$M17)^2)/'W10'!$E$5*'W10'!$E$5,0),(IF(AND('R10'!$S$4&lt;&gt;"Multi",'R10'!$R$4="FY"),ROUND(((1+'R10'!$S$4)^('W10'!$B$20+2)*'W10'!$E$9+(1+'R10'!$S$4)^('W10'!$B$20+3)*'W10'!$E$10)/'W10'!$E$5*'R10'!$E17,0),ROUND('R10'!$E17*((1+'R10'!$S$4)^2)/'W10'!$E$5*'W10'!$E$5,0)))))))))</f>
        <v>0</v>
      </c>
      <c r="G337" s="300"/>
      <c r="H337" s="302">
        <f ca="1">IF('W10'!$F$5=0,"",IF($C$4=$D$4,(IF(AND('R10'!$S$4="Multi",'R10'!$R$4="FY"),ROUND(((1+'R10'!$M17)^('W10'!$B$20+2)*'W10'!$F$9+(1+'R10'!$M17)^('W10'!$B$20+3)*'W10'!$F$10)/'W10'!$F$5*'R10'!$E17,0),(IF(AND('R10'!$S$4="Multi",'R10'!$R$4="PY"),ROUND('R10'!$E17*((1+'R10'!$M17)^3)/'W10'!$F$5*'W10'!$F$5,0),(IF(AND('R10'!$S$4&lt;&gt;"Multi",'R10'!$R$4="FY"),ROUND(((1+'R10'!$S$4)^('W10'!$B$20+2)*'W10'!$F$9+(1+'R10'!$S$4)^('W10'!$B$20+3)*'W10'!$F$10)/'W10'!$F$5*'R10'!$E17,0),ROUND('R10'!$E17*((1+'R10'!$S$4)^3)/'W10'!$F$5*'W10'!$F$5,0))))))),(IF(AND('R10'!$S$4="Multi",'R10'!$R$4="FY"),ROUND(((1+'R10'!$M17)^('W10'!$B$20+3)*'W10'!$F$9+(1+'R10'!$M17)^('W10'!$B$20+4)*'W10'!$F$10)/'W10'!$F$5*'R10'!$E17,0),(IF(AND('R10'!$S$4="Multi",'R10'!$R$4="PY"),ROUND('R10'!$E17*((1+'R10'!$M17)^3)/'W10'!$F$5*'W10'!$F$5,0),(IF(AND('R10'!$S$4&lt;&gt;"Multi",'R10'!$R$4="FY"),ROUND(((1+'R10'!$S$4)^('W10'!$B$20+3)*'W10'!$F$9+(1+'R10'!$S$4)^('W10'!$B$20+4)*'W10'!$F$10)/'W10'!$F$5*'R10'!$E17,0),ROUND('R10'!$E17*((1+'R10'!$S$4)^3)/'W10'!$F$5*'W10'!$F$5,0)))))))))</f>
        <v>0</v>
      </c>
      <c r="I337" s="300"/>
      <c r="J337" s="302">
        <f ca="1">IF('W10'!$G$5=0,"",IF($C$4=$D$4,(IF(AND('R10'!$S$4="Multi",'R10'!$R$4="FY"),ROUND(((1+'R10'!$M17)^('W10'!$B$20+3)*'W10'!$G$9+(1+'R10'!$M17)^('W10'!$B$20+4)*'W10'!$G$10)/'W10'!$G$5*'R10'!$E17,0),(IF(AND('R10'!$S$4="Multi",'R10'!$R$4="PY"),ROUND('R10'!$E17*((1+'R10'!$M17)^4)/'W10'!$G$5*'W10'!$G$5,0),(IF(AND('R10'!$S$4&lt;&gt;"Multi",'R10'!$R$4="FY"),ROUND(((1+'R10'!$S$4)^('W10'!$B$20+3)*'W10'!$G$9+(1+'R10'!$S$4)^('W10'!$B$20+4)*'W10'!$G$10)/'W10'!$G$5*'R10'!$E17,0),ROUND('R10'!$E17*((1+'R10'!$S$4)^4)/'W10'!$G$5*'W10'!$G$5,0))))))),(IF(AND('R10'!$S$4="Multi",'R10'!$R$4="FY"),ROUND(((1+'R10'!$M17)^('W10'!$B$20+4)*'W10'!$G$9+(1+'R10'!$M17)^('W10'!$B$20+5)*'W10'!$G$10)/'W10'!$G$5*'R10'!$E17,0),(IF(AND('R10'!$S$4="Multi",'R10'!$R$4="PY"),ROUND('R10'!$E17*((1+'R10'!$M17)^4)/'W10'!$G$5*'W10'!$G$5,0),(IF(AND('R10'!$S$4&lt;&gt;"Multi",'R10'!$R$4="FY"),ROUND(((1+'R10'!$S$4)^('W10'!$B$20+4)*'W10'!$G$9+(1+'R10'!$S$4)^('W10'!$B$20+5)*'W10'!$G$10)/'W10'!$G$5*'R10'!$E17,0),ROUND('R10'!$E17*((1+'R10'!$S$4)^4)/'W10'!$G$5*'W10'!$G$5,0)))))))))</f>
        <v>0</v>
      </c>
      <c r="K337" s="300"/>
    </row>
    <row r="338" spans="1:11" x14ac:dyDescent="0.2">
      <c r="A338" s="82">
        <f>'P10'!B13</f>
        <v>0</v>
      </c>
      <c r="B338" s="302">
        <f ca="1">IF('W10'!$C$5=0,"",IF(AND('R10'!$S$4="Multi",'R10'!$R$4="FY"),ROUND(((1+'R10'!$M18)^'W10'!$B$20*'W10'!$C$9+(1+'R10'!$M18)^('W10'!$B$20+1)*'W10'!$C$10)/('W10'!$C$5)*'R10'!$E18,0),(IF(AND('R10'!$S$4="Multi",'R10'!$R$4="PY"),ROUND('R10'!$E18/('W10'!$C$5)*'W10'!$C$5,0),(IF(AND('R10'!$S$4&lt;&gt;"Multi",'R10'!$R$4="FY"),ROUND(((1+'R10'!$S$4)^'W10'!$B$20*'W10'!$C$9+(1+'R10'!$S$4)^('W10'!$B$20+1)*'W10'!$C$10)/'W10'!$C$5*'R10'!$E18,0),ROUND('R10'!$E18/'W10'!$C$5*'W10'!$C$5,0)))))))</f>
        <v>0</v>
      </c>
      <c r="C338" s="300"/>
      <c r="D338" s="302">
        <f ca="1">IF('W10'!$D$5=0,"",IF($C$4=$D$4,(IF(AND('R10'!$S$4="Multi",'R10'!$R$4="FY"),ROUND(((1+'R10'!$M18)^('W10'!$B$20)*'W10'!$D$9+(1+'R10'!$M18)^('W10'!$B$20+1)*'W10'!$D$10)/'W10'!$D$5*'R10'!$E18,0),(IF(AND('R10'!$S$4="Multi",'R10'!$R$4="PY"),ROUND('R10'!$E18*(1+'R10'!$M18)/'W10'!$D$5*'W10'!$D$5,0),(IF(AND('R10'!$S$4&lt;&gt;"Multi",'R10'!$R$4="FY"),ROUND(((1+'R10'!$S$4)^('W10'!$B$20)*'W10'!$D$9+(1+'R10'!$S$4)^('W10'!$B$20+1)*'W10'!$D$10)/'W10'!$D$5*'R10'!$E18,0),ROUND('R10'!$E18*(1+'R10'!$S$4)/'W10'!$D$5*'W10'!$D$5,0))))))),(IF(AND('R10'!$S$4="Multi",'R10'!$R$4="FY"),ROUND(((1+'R10'!$M18)^('W10'!$B$20+1)*'W10'!$D$9+(1+'R10'!$M18)^('W10'!$B$20+2)*'W10'!$D$10)/'W10'!$D$5*'R10'!$E18,0),(IF(AND('R10'!$S$4="Multi",'R10'!$R$4="PY"),ROUND('R10'!$E18*(1+'R10'!$M18)/'W10'!$D$5*'W10'!$D$5,0),(IF(AND('R10'!$S$4&lt;&gt;"Multi",'R10'!$R$4="FY"),ROUND(((1+'R10'!$S$4)^('W10'!$B$20+1)*'W10'!$D$9+(1+'R10'!$S$4)^('W10'!$B$20+2)*'W10'!$D$10)/'W10'!$D$5*'R10'!$E18,0),ROUND('R10'!$E18*(1+'R10'!$S$4)/'W10'!$D$5*'W10'!$D$5,0)))))))))</f>
        <v>0</v>
      </c>
      <c r="E338" s="300"/>
      <c r="F338" s="302">
        <f ca="1">IF('W10'!$E$5=0,"",IF($C$4=$D$4,(IF(AND('R10'!$S$4="Multi",'R10'!$R$4="FY"),ROUND(((1+'R10'!$M18)^('W10'!$B$20+1)*'W10'!$E$9+(1+'R10'!$M18)^('W10'!$B$20+3)*'W10'!$E$10)/'W10'!$E$5*'R10'!$E18,0),(IF(AND('R10'!$S$4="Multi",'R10'!$R$4="PY"),ROUND('R10'!$E18*((1+'R10'!$M18)^2)/'W10'!$E$5*'W10'!$E$5,0),(IF(AND('R10'!$S$4&lt;&gt;"Multi",'R10'!$R$4="FY"),ROUND(((1+'R10'!$S$4)^('W10'!$B$20+1)*'W10'!$E$9+(1+'R10'!$S$4)^('W10'!$B$20+2)*'W10'!$E$10)/'W10'!$E$5*'R10'!$E18,0),ROUND('R10'!$E18*((1+'R10'!$S$4)^2)/'W10'!$E$5*'W10'!$E$5,0))))))),(IF(AND('R10'!$S$4="Multi",'R10'!$R$4="FY"),ROUND(((1+'R10'!$M18)^('W10'!$B$20+2)*'W10'!$E$9+(1+'R10'!$M18)^('W10'!$B$20+3)*'W10'!$E$10)/'W10'!$E$5*'R10'!$E18,0),(IF(AND('R10'!$S$4="Multi",'R10'!$R$4="PY"),ROUND('R10'!$E18*((1+'R10'!$M18)^2)/'W10'!$E$5*'W10'!$E$5,0),(IF(AND('R10'!$S$4&lt;&gt;"Multi",'R10'!$R$4="FY"),ROUND(((1+'R10'!$S$4)^('W10'!$B$20+2)*'W10'!$E$9+(1+'R10'!$S$4)^('W10'!$B$20+3)*'W10'!$E$10)/'W10'!$E$5*'R10'!$E18,0),ROUND('R10'!$E18*((1+'R10'!$S$4)^2)/'W10'!$E$5*'W10'!$E$5,0)))))))))</f>
        <v>0</v>
      </c>
      <c r="G338" s="300"/>
      <c r="H338" s="302">
        <f ca="1">IF('W10'!$F$5=0,"",IF($C$4=$D$4,(IF(AND('R10'!$S$4="Multi",'R10'!$R$4="FY"),ROUND(((1+'R10'!$M18)^('W10'!$B$20+2)*'W10'!$F$9+(1+'R10'!$M18)^('W10'!$B$20+3)*'W10'!$F$10)/'W10'!$F$5*'R10'!$E18,0),(IF(AND('R10'!$S$4="Multi",'R10'!$R$4="PY"),ROUND('R10'!$E18*((1+'R10'!$M18)^3)/'W10'!$F$5*'W10'!$F$5,0),(IF(AND('R10'!$S$4&lt;&gt;"Multi",'R10'!$R$4="FY"),ROUND(((1+'R10'!$S$4)^('W10'!$B$20+2)*'W10'!$F$9+(1+'R10'!$S$4)^('W10'!$B$20+3)*'W10'!$F$10)/'W10'!$F$5*'R10'!$E18,0),ROUND('R10'!$E18*((1+'R10'!$S$4)^3)/'W10'!$F$5*'W10'!$F$5,0))))))),(IF(AND('R10'!$S$4="Multi",'R10'!$R$4="FY"),ROUND(((1+'R10'!$M18)^('W10'!$B$20+3)*'W10'!$F$9+(1+'R10'!$M18)^('W10'!$B$20+4)*'W10'!$F$10)/'W10'!$F$5*'R10'!$E18,0),(IF(AND('R10'!$S$4="Multi",'R10'!$R$4="PY"),ROUND('R10'!$E18*((1+'R10'!$M18)^3)/'W10'!$F$5*'W10'!$F$5,0),(IF(AND('R10'!$S$4&lt;&gt;"Multi",'R10'!$R$4="FY"),ROUND(((1+'R10'!$S$4)^('W10'!$B$20+3)*'W10'!$F$9+(1+'R10'!$S$4)^('W10'!$B$20+4)*'W10'!$F$10)/'W10'!$F$5*'R10'!$E18,0),ROUND('R10'!$E18*((1+'R10'!$S$4)^3)/'W10'!$F$5*'W10'!$F$5,0)))))))))</f>
        <v>0</v>
      </c>
      <c r="I338" s="300"/>
      <c r="J338" s="302">
        <f ca="1">IF('W10'!$G$5=0,"",IF($C$4=$D$4,(IF(AND('R10'!$S$4="Multi",'R10'!$R$4="FY"),ROUND(((1+'R10'!$M18)^('W10'!$B$20+3)*'W10'!$G$9+(1+'R10'!$M18)^('W10'!$B$20+4)*'W10'!$G$10)/'W10'!$G$5*'R10'!$E18,0),(IF(AND('R10'!$S$4="Multi",'R10'!$R$4="PY"),ROUND('R10'!$E18*((1+'R10'!$M18)^4)/'W10'!$G$5*'W10'!$G$5,0),(IF(AND('R10'!$S$4&lt;&gt;"Multi",'R10'!$R$4="FY"),ROUND(((1+'R10'!$S$4)^('W10'!$B$20+3)*'W10'!$G$9+(1+'R10'!$S$4)^('W10'!$B$20+4)*'W10'!$G$10)/'W10'!$G$5*'R10'!$E18,0),ROUND('R10'!$E18*((1+'R10'!$S$4)^4)/'W10'!$G$5*'W10'!$G$5,0))))))),(IF(AND('R10'!$S$4="Multi",'R10'!$R$4="FY"),ROUND(((1+'R10'!$M18)^('W10'!$B$20+4)*'W10'!$G$9+(1+'R10'!$M18)^('W10'!$B$20+5)*'W10'!$G$10)/'W10'!$G$5*'R10'!$E18,0),(IF(AND('R10'!$S$4="Multi",'R10'!$R$4="PY"),ROUND('R10'!$E18*((1+'R10'!$M18)^4)/'W10'!$G$5*'W10'!$G$5,0),(IF(AND('R10'!$S$4&lt;&gt;"Multi",'R10'!$R$4="FY"),ROUND(((1+'R10'!$S$4)^('W10'!$B$20+4)*'W10'!$G$9+(1+'R10'!$S$4)^('W10'!$B$20+5)*'W10'!$G$10)/'W10'!$G$5*'R10'!$E18,0),ROUND('R10'!$E18*((1+'R10'!$S$4)^4)/'W10'!$G$5*'W10'!$G$5,0)))))))))</f>
        <v>0</v>
      </c>
      <c r="K338" s="300"/>
    </row>
    <row r="339" spans="1:11" x14ac:dyDescent="0.2">
      <c r="A339" s="82">
        <f>'P10'!B14</f>
        <v>0</v>
      </c>
      <c r="B339" s="302">
        <f ca="1">IF('W10'!$C$5=0,"",IF(AND('R10'!$S$4="Multi",'R10'!$R$4="FY"),ROUND(((1+'R10'!$M19)^'W10'!$B$20*'W10'!$C$9+(1+'R10'!$M19)^('W10'!$B$20+1)*'W10'!$C$10)/('W10'!$C$5)*'R10'!$E19,0),(IF(AND('R10'!$S$4="Multi",'R10'!$R$4="PY"),ROUND('R10'!$E19/('W10'!$C$5)*'W10'!$C$5,0),(IF(AND('R10'!$S$4&lt;&gt;"Multi",'R10'!$R$4="FY"),ROUND(((1+'R10'!$S$4)^'W10'!$B$20*'W10'!$C$9+(1+'R10'!$S$4)^('W10'!$B$20+1)*'W10'!$C$10)/'W10'!$C$5*'R10'!$E19,0),ROUND('R10'!$E19/'W10'!$C$5*'W10'!$C$5,0)))))))</f>
        <v>0</v>
      </c>
      <c r="C339" s="300"/>
      <c r="D339" s="302">
        <f ca="1">IF('W10'!$D$5=0,"",IF($C$4=$D$4,(IF(AND('R10'!$S$4="Multi",'R10'!$R$4="FY"),ROUND(((1+'R10'!$M19)^('W10'!$B$20)*'W10'!$D$9+(1+'R10'!$M19)^('W10'!$B$20+1)*'W10'!$D$10)/'W10'!$D$5*'R10'!$E19,0),(IF(AND('R10'!$S$4="Multi",'R10'!$R$4="PY"),ROUND('R10'!$E19*(1+'R10'!$M19)/'W10'!$D$5*'W10'!$D$5,0),(IF(AND('R10'!$S$4&lt;&gt;"Multi",'R10'!$R$4="FY"),ROUND(((1+'R10'!$S$4)^('W10'!$B$20)*'W10'!$D$9+(1+'R10'!$S$4)^('W10'!$B$20+1)*'W10'!$D$10)/'W10'!$D$5*'R10'!$E19,0),ROUND('R10'!$E19*(1+'R10'!$S$4)/'W10'!$D$5*'W10'!$D$5,0))))))),(IF(AND('R10'!$S$4="Multi",'R10'!$R$4="FY"),ROUND(((1+'R10'!$M19)^('W10'!$B$20+1)*'W10'!$D$9+(1+'R10'!$M19)^('W10'!$B$20+2)*'W10'!$D$10)/'W10'!$D$5*'R10'!$E19,0),(IF(AND('R10'!$S$4="Multi",'R10'!$R$4="PY"),ROUND('R10'!$E19*(1+'R10'!$M19)/'W10'!$D$5*'W10'!$D$5,0),(IF(AND('R10'!$S$4&lt;&gt;"Multi",'R10'!$R$4="FY"),ROUND(((1+'R10'!$S$4)^('W10'!$B$20+1)*'W10'!$D$9+(1+'R10'!$S$4)^('W10'!$B$20+2)*'W10'!$D$10)/'W10'!$D$5*'R10'!$E19,0),ROUND('R10'!$E19*(1+'R10'!$S$4)/'W10'!$D$5*'W10'!$D$5,0)))))))))</f>
        <v>0</v>
      </c>
      <c r="E339" s="300"/>
      <c r="F339" s="302">
        <f ca="1">IF('W10'!$E$5=0,"",IF($C$4=$D$4,(IF(AND('R10'!$S$4="Multi",'R10'!$R$4="FY"),ROUND(((1+'R10'!$M19)^('W10'!$B$20+1)*'W10'!$E$9+(1+'R10'!$M19)^('W10'!$B$20+3)*'W10'!$E$10)/'W10'!$E$5*'R10'!$E19,0),(IF(AND('R10'!$S$4="Multi",'R10'!$R$4="PY"),ROUND('R10'!$E19*((1+'R10'!$M19)^2)/'W10'!$E$5*'W10'!$E$5,0),(IF(AND('R10'!$S$4&lt;&gt;"Multi",'R10'!$R$4="FY"),ROUND(((1+'R10'!$S$4)^('W10'!$B$20+1)*'W10'!$E$9+(1+'R10'!$S$4)^('W10'!$B$20+2)*'W10'!$E$10)/'W10'!$E$5*'R10'!$E19,0),ROUND('R10'!$E19*((1+'R10'!$S$4)^2)/'W10'!$E$5*'W10'!$E$5,0))))))),(IF(AND('R10'!$S$4="Multi",'R10'!$R$4="FY"),ROUND(((1+'R10'!$M19)^('W10'!$B$20+2)*'W10'!$E$9+(1+'R10'!$M19)^('W10'!$B$20+3)*'W10'!$E$10)/'W10'!$E$5*'R10'!$E19,0),(IF(AND('R10'!$S$4="Multi",'R10'!$R$4="PY"),ROUND('R10'!$E19*((1+'R10'!$M19)^2)/'W10'!$E$5*'W10'!$E$5,0),(IF(AND('R10'!$S$4&lt;&gt;"Multi",'R10'!$R$4="FY"),ROUND(((1+'R10'!$S$4)^('W10'!$B$20+2)*'W10'!$E$9+(1+'R10'!$S$4)^('W10'!$B$20+3)*'W10'!$E$10)/'W10'!$E$5*'R10'!$E19,0),ROUND('R10'!$E19*((1+'R10'!$S$4)^2)/'W10'!$E$5*'W10'!$E$5,0)))))))))</f>
        <v>0</v>
      </c>
      <c r="G339" s="300"/>
      <c r="H339" s="302">
        <f ca="1">IF('W10'!$F$5=0,"",IF($C$4=$D$4,(IF(AND('R10'!$S$4="Multi",'R10'!$R$4="FY"),ROUND(((1+'R10'!$M19)^('W10'!$B$20+2)*'W10'!$F$9+(1+'R10'!$M19)^('W10'!$B$20+3)*'W10'!$F$10)/'W10'!$F$5*'R10'!$E19,0),(IF(AND('R10'!$S$4="Multi",'R10'!$R$4="PY"),ROUND('R10'!$E19*((1+'R10'!$M19)^3)/'W10'!$F$5*'W10'!$F$5,0),(IF(AND('R10'!$S$4&lt;&gt;"Multi",'R10'!$R$4="FY"),ROUND(((1+'R10'!$S$4)^('W10'!$B$20+2)*'W10'!$F$9+(1+'R10'!$S$4)^('W10'!$B$20+3)*'W10'!$F$10)/'W10'!$F$5*'R10'!$E19,0),ROUND('R10'!$E19*((1+'R10'!$S$4)^3)/'W10'!$F$5*'W10'!$F$5,0))))))),(IF(AND('R10'!$S$4="Multi",'R10'!$R$4="FY"),ROUND(((1+'R10'!$M19)^('W10'!$B$20+3)*'W10'!$F$9+(1+'R10'!$M19)^('W10'!$B$20+4)*'W10'!$F$10)/'W10'!$F$5*'R10'!$E19,0),(IF(AND('R10'!$S$4="Multi",'R10'!$R$4="PY"),ROUND('R10'!$E19*((1+'R10'!$M19)^3)/'W10'!$F$5*'W10'!$F$5,0),(IF(AND('R10'!$S$4&lt;&gt;"Multi",'R10'!$R$4="FY"),ROUND(((1+'R10'!$S$4)^('W10'!$B$20+3)*'W10'!$F$9+(1+'R10'!$S$4)^('W10'!$B$20+4)*'W10'!$F$10)/'W10'!$F$5*'R10'!$E19,0),ROUND('R10'!$E19*((1+'R10'!$S$4)^3)/'W10'!$F$5*'W10'!$F$5,0)))))))))</f>
        <v>0</v>
      </c>
      <c r="I339" s="300"/>
      <c r="J339" s="302">
        <f ca="1">IF('W10'!$G$5=0,"",IF($C$4=$D$4,(IF(AND('R10'!$S$4="Multi",'R10'!$R$4="FY"),ROUND(((1+'R10'!$M19)^('W10'!$B$20+3)*'W10'!$G$9+(1+'R10'!$M19)^('W10'!$B$20+4)*'W10'!$G$10)/'W10'!$G$5*'R10'!$E19,0),(IF(AND('R10'!$S$4="Multi",'R10'!$R$4="PY"),ROUND('R10'!$E19*((1+'R10'!$M19)^4)/'W10'!$G$5*'W10'!$G$5,0),(IF(AND('R10'!$S$4&lt;&gt;"Multi",'R10'!$R$4="FY"),ROUND(((1+'R10'!$S$4)^('W10'!$B$20+3)*'W10'!$G$9+(1+'R10'!$S$4)^('W10'!$B$20+4)*'W10'!$G$10)/'W10'!$G$5*'R10'!$E19,0),ROUND('R10'!$E19*((1+'R10'!$S$4)^4)/'W10'!$G$5*'W10'!$G$5,0))))))),(IF(AND('R10'!$S$4="Multi",'R10'!$R$4="FY"),ROUND(((1+'R10'!$M19)^('W10'!$B$20+4)*'W10'!$G$9+(1+'R10'!$M19)^('W10'!$B$20+5)*'W10'!$G$10)/'W10'!$G$5*'R10'!$E19,0),(IF(AND('R10'!$S$4="Multi",'R10'!$R$4="PY"),ROUND('R10'!$E19*((1+'R10'!$M19)^4)/'W10'!$G$5*'W10'!$G$5,0),(IF(AND('R10'!$S$4&lt;&gt;"Multi",'R10'!$R$4="FY"),ROUND(((1+'R10'!$S$4)^('W10'!$B$20+4)*'W10'!$G$9+(1+'R10'!$S$4)^('W10'!$B$20+5)*'W10'!$G$10)/'W10'!$G$5*'R10'!$E19,0),ROUND('R10'!$E19*((1+'R10'!$S$4)^4)/'W10'!$G$5*'W10'!$G$5,0)))))))))</f>
        <v>0</v>
      </c>
      <c r="K339" s="300"/>
    </row>
    <row r="340" spans="1:11" x14ac:dyDescent="0.2">
      <c r="A340" s="82">
        <f>'P10'!B15</f>
        <v>0</v>
      </c>
      <c r="B340" s="302">
        <f ca="1">IF('W10'!$C$5=0,"",IF(AND('R10'!$S$4="Multi",'R10'!$R$4="FY"),ROUND(((1+'R10'!$M20)^'W10'!$B$20*'W10'!$C$9+(1+'R10'!$M20)^('W10'!$B$20+1)*'W10'!$C$10)/('W10'!$C$5)*'R10'!$E20,0),(IF(AND('R10'!$S$4="Multi",'R10'!$R$4="PY"),ROUND('R10'!$E20/('W10'!$C$5)*'W10'!$C$5,0),(IF(AND('R10'!$S$4&lt;&gt;"Multi",'R10'!$R$4="FY"),ROUND(((1+'R10'!$S$4)^'W10'!$B$20*'W10'!$C$9+(1+'R10'!$S$4)^('W10'!$B$20+1)*'W10'!$C$10)/'W10'!$C$5*'R10'!$E20,0),ROUND('R10'!$E20/'W10'!$C$5*'W10'!$C$5,0)))))))</f>
        <v>0</v>
      </c>
      <c r="C340" s="300"/>
      <c r="D340" s="302">
        <f ca="1">IF('W10'!$D$5=0,"",IF($C$4=$D$4,(IF(AND('R10'!$S$4="Multi",'R10'!$R$4="FY"),ROUND(((1+'R10'!$M20)^('W10'!$B$20)*'W10'!$D$9+(1+'R10'!$M20)^('W10'!$B$20+1)*'W10'!$D$10)/'W10'!$D$5*'R10'!$E20,0),(IF(AND('R10'!$S$4="Multi",'R10'!$R$4="PY"),ROUND('R10'!$E20*(1+'R10'!$M20)/'W10'!$D$5*'W10'!$D$5,0),(IF(AND('R10'!$S$4&lt;&gt;"Multi",'R10'!$R$4="FY"),ROUND(((1+'R10'!$S$4)^('W10'!$B$20)*'W10'!$D$9+(1+'R10'!$S$4)^('W10'!$B$20+1)*'W10'!$D$10)/'W10'!$D$5*'R10'!$E20,0),ROUND('R10'!$E20*(1+'R10'!$S$4)/'W10'!$D$5*'W10'!$D$5,0))))))),(IF(AND('R10'!$S$4="Multi",'R10'!$R$4="FY"),ROUND(((1+'R10'!$M20)^('W10'!$B$20+1)*'W10'!$D$9+(1+'R10'!$M20)^('W10'!$B$20+2)*'W10'!$D$10)/'W10'!$D$5*'R10'!$E20,0),(IF(AND('R10'!$S$4="Multi",'R10'!$R$4="PY"),ROUND('R10'!$E20*(1+'R10'!$M20)/'W10'!$D$5*'W10'!$D$5,0),(IF(AND('R10'!$S$4&lt;&gt;"Multi",'R10'!$R$4="FY"),ROUND(((1+'R10'!$S$4)^('W10'!$B$20+1)*'W10'!$D$9+(1+'R10'!$S$4)^('W10'!$B$20+2)*'W10'!$D$10)/'W10'!$D$5*'R10'!$E20,0),ROUND('R10'!$E20*(1+'R10'!$S$4)/'W10'!$D$5*'W10'!$D$5,0)))))))))</f>
        <v>0</v>
      </c>
      <c r="E340" s="300"/>
      <c r="F340" s="302">
        <f ca="1">IF('W10'!$E$5=0,"",IF($C$4=$D$4,(IF(AND('R10'!$S$4="Multi",'R10'!$R$4="FY"),ROUND(((1+'R10'!$M20)^('W10'!$B$20+1)*'W10'!$E$9+(1+'R10'!$M20)^('W10'!$B$20+3)*'W10'!$E$10)/'W10'!$E$5*'R10'!$E20,0),(IF(AND('R10'!$S$4="Multi",'R10'!$R$4="PY"),ROUND('R10'!$E20*((1+'R10'!$M20)^2)/'W10'!$E$5*'W10'!$E$5,0),(IF(AND('R10'!$S$4&lt;&gt;"Multi",'R10'!$R$4="FY"),ROUND(((1+'R10'!$S$4)^('W10'!$B$20+1)*'W10'!$E$9+(1+'R10'!$S$4)^('W10'!$B$20+2)*'W10'!$E$10)/'W10'!$E$5*'R10'!$E20,0),ROUND('R10'!$E20*((1+'R10'!$S$4)^2)/'W10'!$E$5*'W10'!$E$5,0))))))),(IF(AND('R10'!$S$4="Multi",'R10'!$R$4="FY"),ROUND(((1+'R10'!$M20)^('W10'!$B$20+2)*'W10'!$E$9+(1+'R10'!$M20)^('W10'!$B$20+3)*'W10'!$E$10)/'W10'!$E$5*'R10'!$E20,0),(IF(AND('R10'!$S$4="Multi",'R10'!$R$4="PY"),ROUND('R10'!$E20*((1+'R10'!$M20)^2)/'W10'!$E$5*'W10'!$E$5,0),(IF(AND('R10'!$S$4&lt;&gt;"Multi",'R10'!$R$4="FY"),ROUND(((1+'R10'!$S$4)^('W10'!$B$20+2)*'W10'!$E$9+(1+'R10'!$S$4)^('W10'!$B$20+3)*'W10'!$E$10)/'W10'!$E$5*'R10'!$E20,0),ROUND('R10'!$E20*((1+'R10'!$S$4)^2)/'W10'!$E$5*'W10'!$E$5,0)))))))))</f>
        <v>0</v>
      </c>
      <c r="G340" s="300"/>
      <c r="H340" s="302">
        <f ca="1">IF('W10'!$F$5=0,"",IF($C$4=$D$4,(IF(AND('R10'!$S$4="Multi",'R10'!$R$4="FY"),ROUND(((1+'R10'!$M20)^('W10'!$B$20+2)*'W10'!$F$9+(1+'R10'!$M20)^('W10'!$B$20+3)*'W10'!$F$10)/'W10'!$F$5*'R10'!$E20,0),(IF(AND('R10'!$S$4="Multi",'R10'!$R$4="PY"),ROUND('R10'!$E20*((1+'R10'!$M20)^3)/'W10'!$F$5*'W10'!$F$5,0),(IF(AND('R10'!$S$4&lt;&gt;"Multi",'R10'!$R$4="FY"),ROUND(((1+'R10'!$S$4)^('W10'!$B$20+2)*'W10'!$F$9+(1+'R10'!$S$4)^('W10'!$B$20+3)*'W10'!$F$10)/'W10'!$F$5*'R10'!$E20,0),ROUND('R10'!$E20*((1+'R10'!$S$4)^3)/'W10'!$F$5*'W10'!$F$5,0))))))),(IF(AND('R10'!$S$4="Multi",'R10'!$R$4="FY"),ROUND(((1+'R10'!$M20)^('W10'!$B$20+3)*'W10'!$F$9+(1+'R10'!$M20)^('W10'!$B$20+4)*'W10'!$F$10)/'W10'!$F$5*'R10'!$E20,0),(IF(AND('R10'!$S$4="Multi",'R10'!$R$4="PY"),ROUND('R10'!$E20*((1+'R10'!$M20)^3)/'W10'!$F$5*'W10'!$F$5,0),(IF(AND('R10'!$S$4&lt;&gt;"Multi",'R10'!$R$4="FY"),ROUND(((1+'R10'!$S$4)^('W10'!$B$20+3)*'W10'!$F$9+(1+'R10'!$S$4)^('W10'!$B$20+4)*'W10'!$F$10)/'W10'!$F$5*'R10'!$E20,0),ROUND('R10'!$E20*((1+'R10'!$S$4)^3)/'W10'!$F$5*'W10'!$F$5,0)))))))))</f>
        <v>0</v>
      </c>
      <c r="I340" s="300"/>
      <c r="J340" s="302">
        <f ca="1">IF('W10'!$G$5=0,"",IF($C$4=$D$4,(IF(AND('R10'!$S$4="Multi",'R10'!$R$4="FY"),ROUND(((1+'R10'!$M20)^('W10'!$B$20+3)*'W10'!$G$9+(1+'R10'!$M20)^('W10'!$B$20+4)*'W10'!$G$10)/'W10'!$G$5*'R10'!$E20,0),(IF(AND('R10'!$S$4="Multi",'R10'!$R$4="PY"),ROUND('R10'!$E20*((1+'R10'!$M20)^4)/'W10'!$G$5*'W10'!$G$5,0),(IF(AND('R10'!$S$4&lt;&gt;"Multi",'R10'!$R$4="FY"),ROUND(((1+'R10'!$S$4)^('W10'!$B$20+3)*'W10'!$G$9+(1+'R10'!$S$4)^('W10'!$B$20+4)*'W10'!$G$10)/'W10'!$G$5*'R10'!$E20,0),ROUND('R10'!$E20*((1+'R10'!$S$4)^4)/'W10'!$G$5*'W10'!$G$5,0))))))),(IF(AND('R10'!$S$4="Multi",'R10'!$R$4="FY"),ROUND(((1+'R10'!$M20)^('W10'!$B$20+4)*'W10'!$G$9+(1+'R10'!$M20)^('W10'!$B$20+5)*'W10'!$G$10)/'W10'!$G$5*'R10'!$E20,0),(IF(AND('R10'!$S$4="Multi",'R10'!$R$4="PY"),ROUND('R10'!$E20*((1+'R10'!$M20)^4)/'W10'!$G$5*'W10'!$G$5,0),(IF(AND('R10'!$S$4&lt;&gt;"Multi",'R10'!$R$4="FY"),ROUND(((1+'R10'!$S$4)^('W10'!$B$20+4)*'W10'!$G$9+(1+'R10'!$S$4)^('W10'!$B$20+5)*'W10'!$G$10)/'W10'!$G$5*'R10'!$E20,0),ROUND('R10'!$E20*((1+'R10'!$S$4)^4)/'W10'!$G$5*'W10'!$G$5,0)))))))))</f>
        <v>0</v>
      </c>
      <c r="K340" s="300"/>
    </row>
    <row r="341" spans="1:11" x14ac:dyDescent="0.2">
      <c r="A341" s="82">
        <f>'P10'!B16</f>
        <v>0</v>
      </c>
      <c r="B341" s="302">
        <f ca="1">IF('W10'!$C$5=0,"",IF(AND('R10'!$S$4="Multi",'R10'!$R$4="FY"),ROUND(((1+'R10'!$M21)^'W10'!$B$20*'W10'!$C$9+(1+'R10'!$M21)^('W10'!$B$20+1)*'W10'!$C$10)/('W10'!$C$5)*'R10'!$E21,0),(IF(AND('R10'!$S$4="Multi",'R10'!$R$4="PY"),ROUND('R10'!$E21/('W10'!$C$5)*'W10'!$C$5,0),(IF(AND('R10'!$S$4&lt;&gt;"Multi",'R10'!$R$4="FY"),ROUND(((1+'R10'!$S$4)^'W10'!$B$20*'W10'!$C$9+(1+'R10'!$S$4)^('W10'!$B$20+1)*'W10'!$C$10)/'W10'!$C$5*'R10'!$E21,0),ROUND('R10'!$E21/'W10'!$C$5*'W10'!$C$5,0)))))))</f>
        <v>0</v>
      </c>
      <c r="C341" s="300"/>
      <c r="D341" s="302">
        <f ca="1">IF('W10'!$D$5=0,"",IF($C$4=$D$4,(IF(AND('R10'!$S$4="Multi",'R10'!$R$4="FY"),ROUND(((1+'R10'!$M21)^('W10'!$B$20)*'W10'!$D$9+(1+'R10'!$M21)^('W10'!$B$20+1)*'W10'!$D$10)/'W10'!$D$5*'R10'!$E21,0),(IF(AND('R10'!$S$4="Multi",'R10'!$R$4="PY"),ROUND('R10'!$E21*(1+'R10'!$M21)/'W10'!$D$5*'W10'!$D$5,0),(IF(AND('R10'!$S$4&lt;&gt;"Multi",'R10'!$R$4="FY"),ROUND(((1+'R10'!$S$4)^('W10'!$B$20)*'W10'!$D$9+(1+'R10'!$S$4)^('W10'!$B$20+1)*'W10'!$D$10)/'W10'!$D$5*'R10'!$E21,0),ROUND('R10'!$E21*(1+'R10'!$S$4)/'W10'!$D$5*'W10'!$D$5,0))))))),(IF(AND('R10'!$S$4="Multi",'R10'!$R$4="FY"),ROUND(((1+'R10'!$M21)^('W10'!$B$20+1)*'W10'!$D$9+(1+'R10'!$M21)^('W10'!$B$20+2)*'W10'!$D$10)/'W10'!$D$5*'R10'!$E21,0),(IF(AND('R10'!$S$4="Multi",'R10'!$R$4="PY"),ROUND('R10'!$E21*(1+'R10'!$M21)/'W10'!$D$5*'W10'!$D$5,0),(IF(AND('R10'!$S$4&lt;&gt;"Multi",'R10'!$R$4="FY"),ROUND(((1+'R10'!$S$4)^('W10'!$B$20+1)*'W10'!$D$9+(1+'R10'!$S$4)^('W10'!$B$20+2)*'W10'!$D$10)/'W10'!$D$5*'R10'!$E21,0),ROUND('R10'!$E21*(1+'R10'!$S$4)/'W10'!$D$5*'W10'!$D$5,0)))))))))</f>
        <v>0</v>
      </c>
      <c r="E341" s="300"/>
      <c r="F341" s="302">
        <f ca="1">IF('W10'!$E$5=0,"",IF($C$4=$D$4,(IF(AND('R10'!$S$4="Multi",'R10'!$R$4="FY"),ROUND(((1+'R10'!$M21)^('W10'!$B$20+1)*'W10'!$E$9+(1+'R10'!$M21)^('W10'!$B$20+3)*'W10'!$E$10)/'W10'!$E$5*'R10'!$E21,0),(IF(AND('R10'!$S$4="Multi",'R10'!$R$4="PY"),ROUND('R10'!$E21*((1+'R10'!$M21)^2)/'W10'!$E$5*'W10'!$E$5,0),(IF(AND('R10'!$S$4&lt;&gt;"Multi",'R10'!$R$4="FY"),ROUND(((1+'R10'!$S$4)^('W10'!$B$20+1)*'W10'!$E$9+(1+'R10'!$S$4)^('W10'!$B$20+2)*'W10'!$E$10)/'W10'!$E$5*'R10'!$E21,0),ROUND('R10'!$E21*((1+'R10'!$S$4)^2)/'W10'!$E$5*'W10'!$E$5,0))))))),(IF(AND('R10'!$S$4="Multi",'R10'!$R$4="FY"),ROUND(((1+'R10'!$M21)^('W10'!$B$20+2)*'W10'!$E$9+(1+'R10'!$M21)^('W10'!$B$20+3)*'W10'!$E$10)/'W10'!$E$5*'R10'!$E21,0),(IF(AND('R10'!$S$4="Multi",'R10'!$R$4="PY"),ROUND('R10'!$E21*((1+'R10'!$M21)^2)/'W10'!$E$5*'W10'!$E$5,0),(IF(AND('R10'!$S$4&lt;&gt;"Multi",'R10'!$R$4="FY"),ROUND(((1+'R10'!$S$4)^('W10'!$B$20+2)*'W10'!$E$9+(1+'R10'!$S$4)^('W10'!$B$20+3)*'W10'!$E$10)/'W10'!$E$5*'R10'!$E21,0),ROUND('R10'!$E21*((1+'R10'!$S$4)^2)/'W10'!$E$5*'W10'!$E$5,0)))))))))</f>
        <v>0</v>
      </c>
      <c r="G341" s="300"/>
      <c r="H341" s="302">
        <f ca="1">IF('W10'!$F$5=0,"",IF($C$4=$D$4,(IF(AND('R10'!$S$4="Multi",'R10'!$R$4="FY"),ROUND(((1+'R10'!$M21)^('W10'!$B$20+2)*'W10'!$F$9+(1+'R10'!$M21)^('W10'!$B$20+3)*'W10'!$F$10)/'W10'!$F$5*'R10'!$E21,0),(IF(AND('R10'!$S$4="Multi",'R10'!$R$4="PY"),ROUND('R10'!$E21*((1+'R10'!$M21)^3)/'W10'!$F$5*'W10'!$F$5,0),(IF(AND('R10'!$S$4&lt;&gt;"Multi",'R10'!$R$4="FY"),ROUND(((1+'R10'!$S$4)^('W10'!$B$20+2)*'W10'!$F$9+(1+'R10'!$S$4)^('W10'!$B$20+3)*'W10'!$F$10)/'W10'!$F$5*'R10'!$E21,0),ROUND('R10'!$E21*((1+'R10'!$S$4)^3)/'W10'!$F$5*'W10'!$F$5,0))))))),(IF(AND('R10'!$S$4="Multi",'R10'!$R$4="FY"),ROUND(((1+'R10'!$M21)^('W10'!$B$20+3)*'W10'!$F$9+(1+'R10'!$M21)^('W10'!$B$20+4)*'W10'!$F$10)/'W10'!$F$5*'R10'!$E21,0),(IF(AND('R10'!$S$4="Multi",'R10'!$R$4="PY"),ROUND('R10'!$E21*((1+'R10'!$M21)^3)/'W10'!$F$5*'W10'!$F$5,0),(IF(AND('R10'!$S$4&lt;&gt;"Multi",'R10'!$R$4="FY"),ROUND(((1+'R10'!$S$4)^('W10'!$B$20+3)*'W10'!$F$9+(1+'R10'!$S$4)^('W10'!$B$20+4)*'W10'!$F$10)/'W10'!$F$5*'R10'!$E21,0),ROUND('R10'!$E21*((1+'R10'!$S$4)^3)/'W10'!$F$5*'W10'!$F$5,0)))))))))</f>
        <v>0</v>
      </c>
      <c r="I341" s="300"/>
      <c r="J341" s="302">
        <f ca="1">IF('W10'!$G$5=0,"",IF($C$4=$D$4,(IF(AND('R10'!$S$4="Multi",'R10'!$R$4="FY"),ROUND(((1+'R10'!$M21)^('W10'!$B$20+3)*'W10'!$G$9+(1+'R10'!$M21)^('W10'!$B$20+4)*'W10'!$G$10)/'W10'!$G$5*'R10'!$E21,0),(IF(AND('R10'!$S$4="Multi",'R10'!$R$4="PY"),ROUND('R10'!$E21*((1+'R10'!$M21)^4)/'W10'!$G$5*'W10'!$G$5,0),(IF(AND('R10'!$S$4&lt;&gt;"Multi",'R10'!$R$4="FY"),ROUND(((1+'R10'!$S$4)^('W10'!$B$20+3)*'W10'!$G$9+(1+'R10'!$S$4)^('W10'!$B$20+4)*'W10'!$G$10)/'W10'!$G$5*'R10'!$E21,0),ROUND('R10'!$E21*((1+'R10'!$S$4)^4)/'W10'!$G$5*'W10'!$G$5,0))))))),(IF(AND('R10'!$S$4="Multi",'R10'!$R$4="FY"),ROUND(((1+'R10'!$M21)^('W10'!$B$20+4)*'W10'!$G$9+(1+'R10'!$M21)^('W10'!$B$20+5)*'W10'!$G$10)/'W10'!$G$5*'R10'!$E21,0),(IF(AND('R10'!$S$4="Multi",'R10'!$R$4="PY"),ROUND('R10'!$E21*((1+'R10'!$M21)^4)/'W10'!$G$5*'W10'!$G$5,0),(IF(AND('R10'!$S$4&lt;&gt;"Multi",'R10'!$R$4="FY"),ROUND(((1+'R10'!$S$4)^('W10'!$B$20+4)*'W10'!$G$9+(1+'R10'!$S$4)^('W10'!$B$20+5)*'W10'!$G$10)/'W10'!$G$5*'R10'!$E21,0),ROUND('R10'!$E21*((1+'R10'!$S$4)^4)/'W10'!$G$5*'W10'!$G$5,0)))))))))</f>
        <v>0</v>
      </c>
      <c r="K341" s="300"/>
    </row>
    <row r="342" spans="1:11" x14ac:dyDescent="0.2">
      <c r="A342" s="82">
        <f>'P10'!B17</f>
        <v>0</v>
      </c>
      <c r="B342" s="302">
        <f ca="1">IF('W10'!$C$5=0,"",IF(AND('R10'!$S$4="Multi",'R10'!$R$4="FY"),ROUND(((1+'R10'!$M22)^'W10'!$B$20*'W10'!$C$9+(1+'R10'!$M22)^('W10'!$B$20+1)*'W10'!$C$10)/('W10'!$C$5)*'R10'!$E22,0),(IF(AND('R10'!$S$4="Multi",'R10'!$R$4="PY"),ROUND('R10'!$E22/('W10'!$C$5)*'W10'!$C$5,0),(IF(AND('R10'!$S$4&lt;&gt;"Multi",'R10'!$R$4="FY"),ROUND(((1+'R10'!$S$4)^'W10'!$B$20*'W10'!$C$9+(1+'R10'!$S$4)^('W10'!$B$20+1)*'W10'!$C$10)/'W10'!$C$5*'R10'!$E22,0),ROUND('R10'!$E22/'W10'!$C$5*'W10'!$C$5,0)))))))</f>
        <v>0</v>
      </c>
      <c r="C342" s="300"/>
      <c r="D342" s="302">
        <f ca="1">IF('W10'!$D$5=0,"",IF($C$4=$D$4,(IF(AND('R10'!$S$4="Multi",'R10'!$R$4="FY"),ROUND(((1+'R10'!$M22)^('W10'!$B$20)*'W10'!$D$9+(1+'R10'!$M22)^('W10'!$B$20+1)*'W10'!$D$10)/'W10'!$D$5*'R10'!$E22,0),(IF(AND('R10'!$S$4="Multi",'R10'!$R$4="PY"),ROUND('R10'!$E22*(1+'R10'!$M22)/'W10'!$D$5*'W10'!$D$5,0),(IF(AND('R10'!$S$4&lt;&gt;"Multi",'R10'!$R$4="FY"),ROUND(((1+'R10'!$S$4)^('W10'!$B$20)*'W10'!$D$9+(1+'R10'!$S$4)^('W10'!$B$20+1)*'W10'!$D$10)/'W10'!$D$5*'R10'!$E22,0),ROUND('R10'!$E22*(1+'R10'!$S$4)/'W10'!$D$5*'W10'!$D$5,0))))))),(IF(AND('R10'!$S$4="Multi",'R10'!$R$4="FY"),ROUND(((1+'R10'!$M22)^('W10'!$B$20+1)*'W10'!$D$9+(1+'R10'!$M22)^('W10'!$B$20+2)*'W10'!$D$10)/'W10'!$D$5*'R10'!$E22,0),(IF(AND('R10'!$S$4="Multi",'R10'!$R$4="PY"),ROUND('R10'!$E22*(1+'R10'!$M22)/'W10'!$D$5*'W10'!$D$5,0),(IF(AND('R10'!$S$4&lt;&gt;"Multi",'R10'!$R$4="FY"),ROUND(((1+'R10'!$S$4)^('W10'!$B$20+1)*'W10'!$D$9+(1+'R10'!$S$4)^('W10'!$B$20+2)*'W10'!$D$10)/'W10'!$D$5*'R10'!$E22,0),ROUND('R10'!$E22*(1+'R10'!$S$4)/'W10'!$D$5*'W10'!$D$5,0)))))))))</f>
        <v>0</v>
      </c>
      <c r="E342" s="300"/>
      <c r="F342" s="302">
        <f ca="1">IF('W10'!$E$5=0,"",IF($C$4=$D$4,(IF(AND('R10'!$S$4="Multi",'R10'!$R$4="FY"),ROUND(((1+'R10'!$M22)^('W10'!$B$20+1)*'W10'!$E$9+(1+'R10'!$M22)^('W10'!$B$20+3)*'W10'!$E$10)/'W10'!$E$5*'R10'!$E22,0),(IF(AND('R10'!$S$4="Multi",'R10'!$R$4="PY"),ROUND('R10'!$E22*((1+'R10'!$M22)^2)/'W10'!$E$5*'W10'!$E$5,0),(IF(AND('R10'!$S$4&lt;&gt;"Multi",'R10'!$R$4="FY"),ROUND(((1+'R10'!$S$4)^('W10'!$B$20+1)*'W10'!$E$9+(1+'R10'!$S$4)^('W10'!$B$20+2)*'W10'!$E$10)/'W10'!$E$5*'R10'!$E22,0),ROUND('R10'!$E22*((1+'R10'!$S$4)^2)/'W10'!$E$5*'W10'!$E$5,0))))))),(IF(AND('R10'!$S$4="Multi",'R10'!$R$4="FY"),ROUND(((1+'R10'!$M22)^('W10'!$B$20+2)*'W10'!$E$9+(1+'R10'!$M22)^('W10'!$B$20+3)*'W10'!$E$10)/'W10'!$E$5*'R10'!$E22,0),(IF(AND('R10'!$S$4="Multi",'R10'!$R$4="PY"),ROUND('R10'!$E22*((1+'R10'!$M22)^2)/'W10'!$E$5*'W10'!$E$5,0),(IF(AND('R10'!$S$4&lt;&gt;"Multi",'R10'!$R$4="FY"),ROUND(((1+'R10'!$S$4)^('W10'!$B$20+2)*'W10'!$E$9+(1+'R10'!$S$4)^('W10'!$B$20+3)*'W10'!$E$10)/'W10'!$E$5*'R10'!$E22,0),ROUND('R10'!$E22*((1+'R10'!$S$4)^2)/'W10'!$E$5*'W10'!$E$5,0)))))))))</f>
        <v>0</v>
      </c>
      <c r="G342" s="300"/>
      <c r="H342" s="302">
        <f ca="1">IF('W10'!$F$5=0,"",IF($C$4=$D$4,(IF(AND('R10'!$S$4="Multi",'R10'!$R$4="FY"),ROUND(((1+'R10'!$M22)^('W10'!$B$20+2)*'W10'!$F$9+(1+'R10'!$M22)^('W10'!$B$20+3)*'W10'!$F$10)/'W10'!$F$5*'R10'!$E22,0),(IF(AND('R10'!$S$4="Multi",'R10'!$R$4="PY"),ROUND('R10'!$E22*((1+'R10'!$M22)^3)/'W10'!$F$5*'W10'!$F$5,0),(IF(AND('R10'!$S$4&lt;&gt;"Multi",'R10'!$R$4="FY"),ROUND(((1+'R10'!$S$4)^('W10'!$B$20+2)*'W10'!$F$9+(1+'R10'!$S$4)^('W10'!$B$20+3)*'W10'!$F$10)/'W10'!$F$5*'R10'!$E22,0),ROUND('R10'!$E22*((1+'R10'!$S$4)^3)/'W10'!$F$5*'W10'!$F$5,0))))))),(IF(AND('R10'!$S$4="Multi",'R10'!$R$4="FY"),ROUND(((1+'R10'!$M22)^('W10'!$B$20+3)*'W10'!$F$9+(1+'R10'!$M22)^('W10'!$B$20+4)*'W10'!$F$10)/'W10'!$F$5*'R10'!$E22,0),(IF(AND('R10'!$S$4="Multi",'R10'!$R$4="PY"),ROUND('R10'!$E22*((1+'R10'!$M22)^3)/'W10'!$F$5*'W10'!$F$5,0),(IF(AND('R10'!$S$4&lt;&gt;"Multi",'R10'!$R$4="FY"),ROUND(((1+'R10'!$S$4)^('W10'!$B$20+3)*'W10'!$F$9+(1+'R10'!$S$4)^('W10'!$B$20+4)*'W10'!$F$10)/'W10'!$F$5*'R10'!$E22,0),ROUND('R10'!$E22*((1+'R10'!$S$4)^3)/'W10'!$F$5*'W10'!$F$5,0)))))))))</f>
        <v>0</v>
      </c>
      <c r="I342" s="300"/>
      <c r="J342" s="302">
        <f ca="1">IF('W10'!$G$5=0,"",IF($C$4=$D$4,(IF(AND('R10'!$S$4="Multi",'R10'!$R$4="FY"),ROUND(((1+'R10'!$M22)^('W10'!$B$20+3)*'W10'!$G$9+(1+'R10'!$M22)^('W10'!$B$20+4)*'W10'!$G$10)/'W10'!$G$5*'R10'!$E22,0),(IF(AND('R10'!$S$4="Multi",'R10'!$R$4="PY"),ROUND('R10'!$E22*((1+'R10'!$M22)^4)/'W10'!$G$5*'W10'!$G$5,0),(IF(AND('R10'!$S$4&lt;&gt;"Multi",'R10'!$R$4="FY"),ROUND(((1+'R10'!$S$4)^('W10'!$B$20+3)*'W10'!$G$9+(1+'R10'!$S$4)^('W10'!$B$20+4)*'W10'!$G$10)/'W10'!$G$5*'R10'!$E22,0),ROUND('R10'!$E22*((1+'R10'!$S$4)^4)/'W10'!$G$5*'W10'!$G$5,0))))))),(IF(AND('R10'!$S$4="Multi",'R10'!$R$4="FY"),ROUND(((1+'R10'!$M22)^('W10'!$B$20+4)*'W10'!$G$9+(1+'R10'!$M22)^('W10'!$B$20+5)*'W10'!$G$10)/'W10'!$G$5*'R10'!$E22,0),(IF(AND('R10'!$S$4="Multi",'R10'!$R$4="PY"),ROUND('R10'!$E22*((1+'R10'!$M22)^4)/'W10'!$G$5*'W10'!$G$5,0),(IF(AND('R10'!$S$4&lt;&gt;"Multi",'R10'!$R$4="FY"),ROUND(((1+'R10'!$S$4)^('W10'!$B$20+4)*'W10'!$G$9+(1+'R10'!$S$4)^('W10'!$B$20+5)*'W10'!$G$10)/'W10'!$G$5*'R10'!$E22,0),ROUND('R10'!$E22*((1+'R10'!$S$4)^4)/'W10'!$G$5*'W10'!$G$5,0)))))))))</f>
        <v>0</v>
      </c>
      <c r="K342" s="300"/>
    </row>
    <row r="343" spans="1:11" x14ac:dyDescent="0.2">
      <c r="A343" s="82">
        <f>'P10'!B18</f>
        <v>0</v>
      </c>
      <c r="B343" s="302">
        <f ca="1">IF('W10'!$C$5=0,"",IF(AND('R10'!$S$4="Multi",'R10'!$R$4="FY"),ROUND(((1+'R10'!$M23)^'W10'!$B$20*'W10'!$C$9+(1+'R10'!$M23)^('W10'!$B$20+1)*'W10'!$C$10)/('W10'!$C$5)*'R10'!$E23,0),(IF(AND('R10'!$S$4="Multi",'R10'!$R$4="PY"),ROUND('R10'!$E23/('W10'!$C$5)*'W10'!$C$5,0),(IF(AND('R10'!$S$4&lt;&gt;"Multi",'R10'!$R$4="FY"),ROUND(((1+'R10'!$S$4)^'W10'!$B$20*'W10'!$C$9+(1+'R10'!$S$4)^('W10'!$B$20+1)*'W10'!$C$10)/'W10'!$C$5*'R10'!$E23,0),ROUND('R10'!$E23/'W10'!$C$5*'W10'!$C$5,0)))))))</f>
        <v>0</v>
      </c>
      <c r="C343" s="300"/>
      <c r="D343" s="302">
        <f ca="1">IF('W10'!$D$5=0,"",IF($C$4=$D$4,(IF(AND('R10'!$S$4="Multi",'R10'!$R$4="FY"),ROUND(((1+'R10'!$M23)^('W10'!$B$20)*'W10'!$D$9+(1+'R10'!$M23)^('W10'!$B$20+1)*'W10'!$D$10)/'W10'!$D$5*'R10'!$E23,0),(IF(AND('R10'!$S$4="Multi",'R10'!$R$4="PY"),ROUND('R10'!$E23*(1+'R10'!$M23)/'W10'!$D$5*'W10'!$D$5,0),(IF(AND('R10'!$S$4&lt;&gt;"Multi",'R10'!$R$4="FY"),ROUND(((1+'R10'!$S$4)^('W10'!$B$20)*'W10'!$D$9+(1+'R10'!$S$4)^('W10'!$B$20+1)*'W10'!$D$10)/'W10'!$D$5*'R10'!$E23,0),ROUND('R10'!$E23*(1+'R10'!$S$4)/'W10'!$D$5*'W10'!$D$5,0))))))),(IF(AND('R10'!$S$4="Multi",'R10'!$R$4="FY"),ROUND(((1+'R10'!$M23)^('W10'!$B$20+1)*'W10'!$D$9+(1+'R10'!$M23)^('W10'!$B$20+2)*'W10'!$D$10)/'W10'!$D$5*'R10'!$E23,0),(IF(AND('R10'!$S$4="Multi",'R10'!$R$4="PY"),ROUND('R10'!$E23*(1+'R10'!$M23)/'W10'!$D$5*'W10'!$D$5,0),(IF(AND('R10'!$S$4&lt;&gt;"Multi",'R10'!$R$4="FY"),ROUND(((1+'R10'!$S$4)^('W10'!$B$20+1)*'W10'!$D$9+(1+'R10'!$S$4)^('W10'!$B$20+2)*'W10'!$D$10)/'W10'!$D$5*'R10'!$E23,0),ROUND('R10'!$E23*(1+'R10'!$S$4)/'W10'!$D$5*'W10'!$D$5,0)))))))))</f>
        <v>0</v>
      </c>
      <c r="E343" s="300"/>
      <c r="F343" s="302">
        <f ca="1">IF('W10'!$E$5=0,"",IF($C$4=$D$4,(IF(AND('R10'!$S$4="Multi",'R10'!$R$4="FY"),ROUND(((1+'R10'!$M23)^('W10'!$B$20+1)*'W10'!$E$9+(1+'R10'!$M23)^('W10'!$B$20+3)*'W10'!$E$10)/'W10'!$E$5*'R10'!$E23,0),(IF(AND('R10'!$S$4="Multi",'R10'!$R$4="PY"),ROUND('R10'!$E23*((1+'R10'!$M23)^2)/'W10'!$E$5*'W10'!$E$5,0),(IF(AND('R10'!$S$4&lt;&gt;"Multi",'R10'!$R$4="FY"),ROUND(((1+'R10'!$S$4)^('W10'!$B$20+1)*'W10'!$E$9+(1+'R10'!$S$4)^('W10'!$B$20+2)*'W10'!$E$10)/'W10'!$E$5*'R10'!$E23,0),ROUND('R10'!$E23*((1+'R10'!$S$4)^2)/'W10'!$E$5*'W10'!$E$5,0))))))),(IF(AND('R10'!$S$4="Multi",'R10'!$R$4="FY"),ROUND(((1+'R10'!$M23)^('W10'!$B$20+2)*'W10'!$E$9+(1+'R10'!$M23)^('W10'!$B$20+3)*'W10'!$E$10)/'W10'!$E$5*'R10'!$E23,0),(IF(AND('R10'!$S$4="Multi",'R10'!$R$4="PY"),ROUND('R10'!$E23*((1+'R10'!$M23)^2)/'W10'!$E$5*'W10'!$E$5,0),(IF(AND('R10'!$S$4&lt;&gt;"Multi",'R10'!$R$4="FY"),ROUND(((1+'R10'!$S$4)^('W10'!$B$20+2)*'W10'!$E$9+(1+'R10'!$S$4)^('W10'!$B$20+3)*'W10'!$E$10)/'W10'!$E$5*'R10'!$E23,0),ROUND('R10'!$E23*((1+'R10'!$S$4)^2)/'W10'!$E$5*'W10'!$E$5,0)))))))))</f>
        <v>0</v>
      </c>
      <c r="G343" s="300"/>
      <c r="H343" s="302">
        <f ca="1">IF('W10'!$F$5=0,"",IF($C$4=$D$4,(IF(AND('R10'!$S$4="Multi",'R10'!$R$4="FY"),ROUND(((1+'R10'!$M23)^('W10'!$B$20+2)*'W10'!$F$9+(1+'R10'!$M23)^('W10'!$B$20+3)*'W10'!$F$10)/'W10'!$F$5*'R10'!$E23,0),(IF(AND('R10'!$S$4="Multi",'R10'!$R$4="PY"),ROUND('R10'!$E23*((1+'R10'!$M23)^3)/'W10'!$F$5*'W10'!$F$5,0),(IF(AND('R10'!$S$4&lt;&gt;"Multi",'R10'!$R$4="FY"),ROUND(((1+'R10'!$S$4)^('W10'!$B$20+2)*'W10'!$F$9+(1+'R10'!$S$4)^('W10'!$B$20+3)*'W10'!$F$10)/'W10'!$F$5*'R10'!$E23,0),ROUND('R10'!$E23*((1+'R10'!$S$4)^3)/'W10'!$F$5*'W10'!$F$5,0))))))),(IF(AND('R10'!$S$4="Multi",'R10'!$R$4="FY"),ROUND(((1+'R10'!$M23)^('W10'!$B$20+3)*'W10'!$F$9+(1+'R10'!$M23)^('W10'!$B$20+4)*'W10'!$F$10)/'W10'!$F$5*'R10'!$E23,0),(IF(AND('R10'!$S$4="Multi",'R10'!$R$4="PY"),ROUND('R10'!$E23*((1+'R10'!$M23)^3)/'W10'!$F$5*'W10'!$F$5,0),(IF(AND('R10'!$S$4&lt;&gt;"Multi",'R10'!$R$4="FY"),ROUND(((1+'R10'!$S$4)^('W10'!$B$20+3)*'W10'!$F$9+(1+'R10'!$S$4)^('W10'!$B$20+4)*'W10'!$F$10)/'W10'!$F$5*'R10'!$E23,0),ROUND('R10'!$E23*((1+'R10'!$S$4)^3)/'W10'!$F$5*'W10'!$F$5,0)))))))))</f>
        <v>0</v>
      </c>
      <c r="I343" s="300"/>
      <c r="J343" s="302">
        <f ca="1">IF('W10'!$G$5=0,"",IF($C$4=$D$4,(IF(AND('R10'!$S$4="Multi",'R10'!$R$4="FY"),ROUND(((1+'R10'!$M23)^('W10'!$B$20+3)*'W10'!$G$9+(1+'R10'!$M23)^('W10'!$B$20+4)*'W10'!$G$10)/'W10'!$G$5*'R10'!$E23,0),(IF(AND('R10'!$S$4="Multi",'R10'!$R$4="PY"),ROUND('R10'!$E23*((1+'R10'!$M23)^4)/'W10'!$G$5*'W10'!$G$5,0),(IF(AND('R10'!$S$4&lt;&gt;"Multi",'R10'!$R$4="FY"),ROUND(((1+'R10'!$S$4)^('W10'!$B$20+3)*'W10'!$G$9+(1+'R10'!$S$4)^('W10'!$B$20+4)*'W10'!$G$10)/'W10'!$G$5*'R10'!$E23,0),ROUND('R10'!$E23*((1+'R10'!$S$4)^4)/'W10'!$G$5*'W10'!$G$5,0))))))),(IF(AND('R10'!$S$4="Multi",'R10'!$R$4="FY"),ROUND(((1+'R10'!$M23)^('W10'!$B$20+4)*'W10'!$G$9+(1+'R10'!$M23)^('W10'!$B$20+5)*'W10'!$G$10)/'W10'!$G$5*'R10'!$E23,0),(IF(AND('R10'!$S$4="Multi",'R10'!$R$4="PY"),ROUND('R10'!$E23*((1+'R10'!$M23)^4)/'W10'!$G$5*'W10'!$G$5,0),(IF(AND('R10'!$S$4&lt;&gt;"Multi",'R10'!$R$4="FY"),ROUND(((1+'R10'!$S$4)^('W10'!$B$20+4)*'W10'!$G$9+(1+'R10'!$S$4)^('W10'!$B$20+5)*'W10'!$G$10)/'W10'!$G$5*'R10'!$E23,0),ROUND('R10'!$E23*((1+'R10'!$S$4)^4)/'W10'!$G$5*'W10'!$G$5,0)))))))))</f>
        <v>0</v>
      </c>
      <c r="K343" s="300"/>
    </row>
    <row r="344" spans="1:11" x14ac:dyDescent="0.2">
      <c r="A344" s="82">
        <f>'P10'!B19</f>
        <v>0</v>
      </c>
      <c r="B344" s="302">
        <f ca="1">IF('W10'!$C$5=0,"",IF(AND('R10'!$S$4="Multi",'R10'!$R$4="FY"),ROUND(((1+'R10'!$M24)^'W10'!$B$20*'W10'!$C$9+(1+'R10'!$M24)^('W10'!$B$20+1)*'W10'!$C$10)/('W10'!$C$5)*'R10'!$E24,0),(IF(AND('R10'!$S$4="Multi",'R10'!$R$4="PY"),ROUND('R10'!$E24/('W10'!$C$5)*'W10'!$C$5,0),(IF(AND('R10'!$S$4&lt;&gt;"Multi",'R10'!$R$4="FY"),ROUND(((1+'R10'!$S$4)^'W10'!$B$20*'W10'!$C$9+(1+'R10'!$S$4)^('W10'!$B$20+1)*'W10'!$C$10)/'W10'!$C$5*'R10'!$E24,0),ROUND('R10'!$E24/'W10'!$C$5*'W10'!$C$5,0)))))))</f>
        <v>0</v>
      </c>
      <c r="C344" s="300"/>
      <c r="D344" s="302">
        <f ca="1">IF('W10'!$D$5=0,"",IF($C$4=$D$4,(IF(AND('R10'!$S$4="Multi",'R10'!$R$4="FY"),ROUND(((1+'R10'!$M24)^('W10'!$B$20)*'W10'!$D$9+(1+'R10'!$M24)^('W10'!$B$20+1)*'W10'!$D$10)/'W10'!$D$5*'R10'!$E24,0),(IF(AND('R10'!$S$4="Multi",'R10'!$R$4="PY"),ROUND('R10'!$E24*(1+'R10'!$M24)/'W10'!$D$5*'W10'!$D$5,0),(IF(AND('R10'!$S$4&lt;&gt;"Multi",'R10'!$R$4="FY"),ROUND(((1+'R10'!$S$4)^('W10'!$B$20)*'W10'!$D$9+(1+'R10'!$S$4)^('W10'!$B$20+1)*'W10'!$D$10)/'W10'!$D$5*'R10'!$E24,0),ROUND('R10'!$E24*(1+'R10'!$S$4)/'W10'!$D$5*'W10'!$D$5,0))))))),(IF(AND('R10'!$S$4="Multi",'R10'!$R$4="FY"),ROUND(((1+'R10'!$M24)^('W10'!$B$20+1)*'W10'!$D$9+(1+'R10'!$M24)^('W10'!$B$20+2)*'W10'!$D$10)/'W10'!$D$5*'R10'!$E24,0),(IF(AND('R10'!$S$4="Multi",'R10'!$R$4="PY"),ROUND('R10'!$E24*(1+'R10'!$M24)/'W10'!$D$5*'W10'!$D$5,0),(IF(AND('R10'!$S$4&lt;&gt;"Multi",'R10'!$R$4="FY"),ROUND(((1+'R10'!$S$4)^('W10'!$B$20+1)*'W10'!$D$9+(1+'R10'!$S$4)^('W10'!$B$20+2)*'W10'!$D$10)/'W10'!$D$5*'R10'!$E24,0),ROUND('R10'!$E24*(1+'R10'!$S$4)/'W10'!$D$5*'W10'!$D$5,0)))))))))</f>
        <v>0</v>
      </c>
      <c r="E344" s="300"/>
      <c r="F344" s="302">
        <f ca="1">IF('W10'!$E$5=0,"",IF($C$4=$D$4,(IF(AND('R10'!$S$4="Multi",'R10'!$R$4="FY"),ROUND(((1+'R10'!$M24)^('W10'!$B$20+1)*'W10'!$E$9+(1+'R10'!$M24)^('W10'!$B$20+3)*'W10'!$E$10)/'W10'!$E$5*'R10'!$E24,0),(IF(AND('R10'!$S$4="Multi",'R10'!$R$4="PY"),ROUND('R10'!$E24*((1+'R10'!$M24)^2)/'W10'!$E$5*'W10'!$E$5,0),(IF(AND('R10'!$S$4&lt;&gt;"Multi",'R10'!$R$4="FY"),ROUND(((1+'R10'!$S$4)^('W10'!$B$20+1)*'W10'!$E$9+(1+'R10'!$S$4)^('W10'!$B$20+2)*'W10'!$E$10)/'W10'!$E$5*'R10'!$E24,0),ROUND('R10'!$E24*((1+'R10'!$S$4)^2)/'W10'!$E$5*'W10'!$E$5,0))))))),(IF(AND('R10'!$S$4="Multi",'R10'!$R$4="FY"),ROUND(((1+'R10'!$M24)^('W10'!$B$20+2)*'W10'!$E$9+(1+'R10'!$M24)^('W10'!$B$20+3)*'W10'!$E$10)/'W10'!$E$5*'R10'!$E24,0),(IF(AND('R10'!$S$4="Multi",'R10'!$R$4="PY"),ROUND('R10'!$E24*((1+'R10'!$M24)^2)/'W10'!$E$5*'W10'!$E$5,0),(IF(AND('R10'!$S$4&lt;&gt;"Multi",'R10'!$R$4="FY"),ROUND(((1+'R10'!$S$4)^('W10'!$B$20+2)*'W10'!$E$9+(1+'R10'!$S$4)^('W10'!$B$20+3)*'W10'!$E$10)/'W10'!$E$5*'R10'!$E24,0),ROUND('R10'!$E24*((1+'R10'!$S$4)^2)/'W10'!$E$5*'W10'!$E$5,0)))))))))</f>
        <v>0</v>
      </c>
      <c r="G344" s="300"/>
      <c r="H344" s="302">
        <f ca="1">IF('W10'!$F$5=0,"",IF($C$4=$D$4,(IF(AND('R10'!$S$4="Multi",'R10'!$R$4="FY"),ROUND(((1+'R10'!$M24)^('W10'!$B$20+2)*'W10'!$F$9+(1+'R10'!$M24)^('W10'!$B$20+3)*'W10'!$F$10)/'W10'!$F$5*'R10'!$E24,0),(IF(AND('R10'!$S$4="Multi",'R10'!$R$4="PY"),ROUND('R10'!$E24*((1+'R10'!$M24)^3)/'W10'!$F$5*'W10'!$F$5,0),(IF(AND('R10'!$S$4&lt;&gt;"Multi",'R10'!$R$4="FY"),ROUND(((1+'R10'!$S$4)^('W10'!$B$20+2)*'W10'!$F$9+(1+'R10'!$S$4)^('W10'!$B$20+3)*'W10'!$F$10)/'W10'!$F$5*'R10'!$E24,0),ROUND('R10'!$E24*((1+'R10'!$S$4)^3)/'W10'!$F$5*'W10'!$F$5,0))))))),(IF(AND('R10'!$S$4="Multi",'R10'!$R$4="FY"),ROUND(((1+'R10'!$M24)^('W10'!$B$20+3)*'W10'!$F$9+(1+'R10'!$M24)^('W10'!$B$20+4)*'W10'!$F$10)/'W10'!$F$5*'R10'!$E24,0),(IF(AND('R10'!$S$4="Multi",'R10'!$R$4="PY"),ROUND('R10'!$E24*((1+'R10'!$M24)^3)/'W10'!$F$5*'W10'!$F$5,0),(IF(AND('R10'!$S$4&lt;&gt;"Multi",'R10'!$R$4="FY"),ROUND(((1+'R10'!$S$4)^('W10'!$B$20+3)*'W10'!$F$9+(1+'R10'!$S$4)^('W10'!$B$20+4)*'W10'!$F$10)/'W10'!$F$5*'R10'!$E24,0),ROUND('R10'!$E24*((1+'R10'!$S$4)^3)/'W10'!$F$5*'W10'!$F$5,0)))))))))</f>
        <v>0</v>
      </c>
      <c r="I344" s="300"/>
      <c r="J344" s="302">
        <f ca="1">IF('W10'!$G$5=0,"",IF($C$4=$D$4,(IF(AND('R10'!$S$4="Multi",'R10'!$R$4="FY"),ROUND(((1+'R10'!$M24)^('W10'!$B$20+3)*'W10'!$G$9+(1+'R10'!$M24)^('W10'!$B$20+4)*'W10'!$G$10)/'W10'!$G$5*'R10'!$E24,0),(IF(AND('R10'!$S$4="Multi",'R10'!$R$4="PY"),ROUND('R10'!$E24*((1+'R10'!$M24)^4)/'W10'!$G$5*'W10'!$G$5,0),(IF(AND('R10'!$S$4&lt;&gt;"Multi",'R10'!$R$4="FY"),ROUND(((1+'R10'!$S$4)^('W10'!$B$20+3)*'W10'!$G$9+(1+'R10'!$S$4)^('W10'!$B$20+4)*'W10'!$G$10)/'W10'!$G$5*'R10'!$E24,0),ROUND('R10'!$E24*((1+'R10'!$S$4)^4)/'W10'!$G$5*'W10'!$G$5,0))))))),(IF(AND('R10'!$S$4="Multi",'R10'!$R$4="FY"),ROUND(((1+'R10'!$M24)^('W10'!$B$20+4)*'W10'!$G$9+(1+'R10'!$M24)^('W10'!$B$20+5)*'W10'!$G$10)/'W10'!$G$5*'R10'!$E24,0),(IF(AND('R10'!$S$4="Multi",'R10'!$R$4="PY"),ROUND('R10'!$E24*((1+'R10'!$M24)^4)/'W10'!$G$5*'W10'!$G$5,0),(IF(AND('R10'!$S$4&lt;&gt;"Multi",'R10'!$R$4="FY"),ROUND(((1+'R10'!$S$4)^('W10'!$B$20+4)*'W10'!$G$9+(1+'R10'!$S$4)^('W10'!$B$20+5)*'W10'!$G$10)/'W10'!$G$5*'R10'!$E24,0),ROUND('R10'!$E24*((1+'R10'!$S$4)^4)/'W10'!$G$5*'W10'!$G$5,0)))))))))</f>
        <v>0</v>
      </c>
      <c r="K344" s="300"/>
    </row>
    <row r="345" spans="1:11" x14ac:dyDescent="0.2">
      <c r="A345" s="82">
        <f>'P10'!B20</f>
        <v>0</v>
      </c>
      <c r="B345" s="302">
        <f ca="1">IF('W10'!$C$5=0,"",IF(AND('R10'!$S$4="Multi",'R10'!$R$4="FY"),ROUND(((1+'R10'!$M25)^'W10'!$B$20*'W10'!$C$9+(1+'R10'!$M25)^('W10'!$B$20+1)*'W10'!$C$10)/('W10'!$C$5)*'R10'!$E25,0),(IF(AND('R10'!$S$4="Multi",'R10'!$R$4="PY"),ROUND('R10'!$E25/('W10'!$C$5)*'W10'!$C$5,0),(IF(AND('R10'!$S$4&lt;&gt;"Multi",'R10'!$R$4="FY"),ROUND(((1+'R10'!$S$4)^'W10'!$B$20*'W10'!$C$9+(1+'R10'!$S$4)^('W10'!$B$20+1)*'W10'!$C$10)/'W10'!$C$5*'R10'!$E25,0),ROUND('R10'!$E25/'W10'!$C$5*'W10'!$C$5,0)))))))</f>
        <v>0</v>
      </c>
      <c r="C345" s="300"/>
      <c r="D345" s="302">
        <f ca="1">IF('W10'!$D$5=0,"",IF($C$4=$D$4,(IF(AND('R10'!$S$4="Multi",'R10'!$R$4="FY"),ROUND(((1+'R10'!$M25)^('W10'!$B$20)*'W10'!$D$9+(1+'R10'!$M25)^('W10'!$B$20+1)*'W10'!$D$10)/'W10'!$D$5*'R10'!$E25,0),(IF(AND('R10'!$S$4="Multi",'R10'!$R$4="PY"),ROUND('R10'!$E25*(1+'R10'!$M25)/'W10'!$D$5*'W10'!$D$5,0),(IF(AND('R10'!$S$4&lt;&gt;"Multi",'R10'!$R$4="FY"),ROUND(((1+'R10'!$S$4)^('W10'!$B$20)*'W10'!$D$9+(1+'R10'!$S$4)^('W10'!$B$20+1)*'W10'!$D$10)/'W10'!$D$5*'R10'!$E25,0),ROUND('R10'!$E25*(1+'R10'!$S$4)/'W10'!$D$5*'W10'!$D$5,0))))))),(IF(AND('R10'!$S$4="Multi",'R10'!$R$4="FY"),ROUND(((1+'R10'!$M25)^('W10'!$B$20+1)*'W10'!$D$9+(1+'R10'!$M25)^('W10'!$B$20+2)*'W10'!$D$10)/'W10'!$D$5*'R10'!$E25,0),(IF(AND('R10'!$S$4="Multi",'R10'!$R$4="PY"),ROUND('R10'!$E25*(1+'R10'!$M25)/'W10'!$D$5*'W10'!$D$5,0),(IF(AND('R10'!$S$4&lt;&gt;"Multi",'R10'!$R$4="FY"),ROUND(((1+'R10'!$S$4)^('W10'!$B$20+1)*'W10'!$D$9+(1+'R10'!$S$4)^('W10'!$B$20+2)*'W10'!$D$10)/'W10'!$D$5*'R10'!$E25,0),ROUND('R10'!$E25*(1+'R10'!$S$4)/'W10'!$D$5*'W10'!$D$5,0)))))))))</f>
        <v>0</v>
      </c>
      <c r="E345" s="300"/>
      <c r="F345" s="302">
        <f ca="1">IF('W10'!$E$5=0,"",IF($C$4=$D$4,(IF(AND('R10'!$S$4="Multi",'R10'!$R$4="FY"),ROUND(((1+'R10'!$M25)^('W10'!$B$20+1)*'W10'!$E$9+(1+'R10'!$M25)^('W10'!$B$20+3)*'W10'!$E$10)/'W10'!$E$5*'R10'!$E25,0),(IF(AND('R10'!$S$4="Multi",'R10'!$R$4="PY"),ROUND('R10'!$E25*((1+'R10'!$M25)^2)/'W10'!$E$5*'W10'!$E$5,0),(IF(AND('R10'!$S$4&lt;&gt;"Multi",'R10'!$R$4="FY"),ROUND(((1+'R10'!$S$4)^('W10'!$B$20+1)*'W10'!$E$9+(1+'R10'!$S$4)^('W10'!$B$20+2)*'W10'!$E$10)/'W10'!$E$5*'R10'!$E25,0),ROUND('R10'!$E25*((1+'R10'!$S$4)^2)/'W10'!$E$5*'W10'!$E$5,0))))))),(IF(AND('R10'!$S$4="Multi",'R10'!$R$4="FY"),ROUND(((1+'R10'!$M25)^('W10'!$B$20+2)*'W10'!$E$9+(1+'R10'!$M25)^('W10'!$B$20+3)*'W10'!$E$10)/'W10'!$E$5*'R10'!$E25,0),(IF(AND('R10'!$S$4="Multi",'R10'!$R$4="PY"),ROUND('R10'!$E25*((1+'R10'!$M25)^2)/'W10'!$E$5*'W10'!$E$5,0),(IF(AND('R10'!$S$4&lt;&gt;"Multi",'R10'!$R$4="FY"),ROUND(((1+'R10'!$S$4)^('W10'!$B$20+2)*'W10'!$E$9+(1+'R10'!$S$4)^('W10'!$B$20+3)*'W10'!$E$10)/'W10'!$E$5*'R10'!$E25,0),ROUND('R10'!$E25*((1+'R10'!$S$4)^2)/'W10'!$E$5*'W10'!$E$5,0)))))))))</f>
        <v>0</v>
      </c>
      <c r="G345" s="300"/>
      <c r="H345" s="302">
        <f ca="1">IF('W10'!$F$5=0,"",IF($C$4=$D$4,(IF(AND('R10'!$S$4="Multi",'R10'!$R$4="FY"),ROUND(((1+'R10'!$M25)^('W10'!$B$20+2)*'W10'!$F$9+(1+'R10'!$M25)^('W10'!$B$20+3)*'W10'!$F$10)/'W10'!$F$5*'R10'!$E25,0),(IF(AND('R10'!$S$4="Multi",'R10'!$R$4="PY"),ROUND('R10'!$E25*((1+'R10'!$M25)^3)/'W10'!$F$5*'W10'!$F$5,0),(IF(AND('R10'!$S$4&lt;&gt;"Multi",'R10'!$R$4="FY"),ROUND(((1+'R10'!$S$4)^('W10'!$B$20+2)*'W10'!$F$9+(1+'R10'!$S$4)^('W10'!$B$20+3)*'W10'!$F$10)/'W10'!$F$5*'R10'!$E25,0),ROUND('R10'!$E25*((1+'R10'!$S$4)^3)/'W10'!$F$5*'W10'!$F$5,0))))))),(IF(AND('R10'!$S$4="Multi",'R10'!$R$4="FY"),ROUND(((1+'R10'!$M25)^('W10'!$B$20+3)*'W10'!$F$9+(1+'R10'!$M25)^('W10'!$B$20+4)*'W10'!$F$10)/'W10'!$F$5*'R10'!$E25,0),(IF(AND('R10'!$S$4="Multi",'R10'!$R$4="PY"),ROUND('R10'!$E25*((1+'R10'!$M25)^3)/'W10'!$F$5*'W10'!$F$5,0),(IF(AND('R10'!$S$4&lt;&gt;"Multi",'R10'!$R$4="FY"),ROUND(((1+'R10'!$S$4)^('W10'!$B$20+3)*'W10'!$F$9+(1+'R10'!$S$4)^('W10'!$B$20+4)*'W10'!$F$10)/'W10'!$F$5*'R10'!$E25,0),ROUND('R10'!$E25*((1+'R10'!$S$4)^3)/'W10'!$F$5*'W10'!$F$5,0)))))))))</f>
        <v>0</v>
      </c>
      <c r="I345" s="300"/>
      <c r="J345" s="302">
        <f ca="1">IF('W10'!$G$5=0,"",IF($C$4=$D$4,(IF(AND('R10'!$S$4="Multi",'R10'!$R$4="FY"),ROUND(((1+'R10'!$M25)^('W10'!$B$20+3)*'W10'!$G$9+(1+'R10'!$M25)^('W10'!$B$20+4)*'W10'!$G$10)/'W10'!$G$5*'R10'!$E25,0),(IF(AND('R10'!$S$4="Multi",'R10'!$R$4="PY"),ROUND('R10'!$E25*((1+'R10'!$M25)^4)/'W10'!$G$5*'W10'!$G$5,0),(IF(AND('R10'!$S$4&lt;&gt;"Multi",'R10'!$R$4="FY"),ROUND(((1+'R10'!$S$4)^('W10'!$B$20+3)*'W10'!$G$9+(1+'R10'!$S$4)^('W10'!$B$20+4)*'W10'!$G$10)/'W10'!$G$5*'R10'!$E25,0),ROUND('R10'!$E25*((1+'R10'!$S$4)^4)/'W10'!$G$5*'W10'!$G$5,0))))))),(IF(AND('R10'!$S$4="Multi",'R10'!$R$4="FY"),ROUND(((1+'R10'!$M25)^('W10'!$B$20+4)*'W10'!$G$9+(1+'R10'!$M25)^('W10'!$B$20+5)*'W10'!$G$10)/'W10'!$G$5*'R10'!$E25,0),(IF(AND('R10'!$S$4="Multi",'R10'!$R$4="PY"),ROUND('R10'!$E25*((1+'R10'!$M25)^4)/'W10'!$G$5*'W10'!$G$5,0),(IF(AND('R10'!$S$4&lt;&gt;"Multi",'R10'!$R$4="FY"),ROUND(((1+'R10'!$S$4)^('W10'!$B$20+4)*'W10'!$G$9+(1+'R10'!$S$4)^('W10'!$B$20+5)*'W10'!$G$10)/'W10'!$G$5*'R10'!$E25,0),ROUND('R10'!$E25*((1+'R10'!$S$4)^4)/'W10'!$G$5*'W10'!$G$5,0)))))))))</f>
        <v>0</v>
      </c>
      <c r="K345" s="300"/>
    </row>
    <row r="346" spans="1:11" x14ac:dyDescent="0.2">
      <c r="A346" s="82">
        <f>'P10'!B21</f>
        <v>0</v>
      </c>
      <c r="B346" s="302">
        <f ca="1">IF('W10'!$C$5=0,"",IF(AND('R10'!$S$4="Multi",'R10'!$R$4="FY"),ROUND(((1+'R10'!$M26)^'W10'!$B$20*'W10'!$C$9+(1+'R10'!$M26)^('W10'!$B$20+1)*'W10'!$C$10)/('W10'!$C$5)*'R10'!$E26,0),(IF(AND('R10'!$S$4="Multi",'R10'!$R$4="PY"),ROUND('R10'!$E26/('W10'!$C$5)*'W10'!$C$5,0),(IF(AND('R10'!$S$4&lt;&gt;"Multi",'R10'!$R$4="FY"),ROUND(((1+'R10'!$S$4)^'W10'!$B$20*'W10'!$C$9+(1+'R10'!$S$4)^('W10'!$B$20+1)*'W10'!$C$10)/'W10'!$C$5*'R10'!$E26,0),ROUND('R10'!$E26/'W10'!$C$5*'W10'!$C$5,0)))))))</f>
        <v>0</v>
      </c>
      <c r="C346" s="300"/>
      <c r="D346" s="302">
        <f ca="1">IF('W10'!$D$5=0,"",IF($C$4=$D$4,(IF(AND('R10'!$S$4="Multi",'R10'!$R$4="FY"),ROUND(((1+'R10'!$M26)^('W10'!$B$20)*'W10'!$D$9+(1+'R10'!$M26)^('W10'!$B$20+1)*'W10'!$D$10)/'W10'!$D$5*'R10'!$E26,0),(IF(AND('R10'!$S$4="Multi",'R10'!$R$4="PY"),ROUND('R10'!$E26*(1+'R10'!$M26)/'W10'!$D$5*'W10'!$D$5,0),(IF(AND('R10'!$S$4&lt;&gt;"Multi",'R10'!$R$4="FY"),ROUND(((1+'R10'!$S$4)^('W10'!$B$20)*'W10'!$D$9+(1+'R10'!$S$4)^('W10'!$B$20+1)*'W10'!$D$10)/'W10'!$D$5*'R10'!$E26,0),ROUND('R10'!$E26*(1+'R10'!$S$4)/'W10'!$D$5*'W10'!$D$5,0))))))),(IF(AND('R10'!$S$4="Multi",'R10'!$R$4="FY"),ROUND(((1+'R10'!$M26)^('W10'!$B$20+1)*'W10'!$D$9+(1+'R10'!$M26)^('W10'!$B$20+2)*'W10'!$D$10)/'W10'!$D$5*'R10'!$E26,0),(IF(AND('R10'!$S$4="Multi",'R10'!$R$4="PY"),ROUND('R10'!$E26*(1+'R10'!$M26)/'W10'!$D$5*'W10'!$D$5,0),(IF(AND('R10'!$S$4&lt;&gt;"Multi",'R10'!$R$4="FY"),ROUND(((1+'R10'!$S$4)^('W10'!$B$20+1)*'W10'!$D$9+(1+'R10'!$S$4)^('W10'!$B$20+2)*'W10'!$D$10)/'W10'!$D$5*'R10'!$E26,0),ROUND('R10'!$E26*(1+'R10'!$S$4)/'W10'!$D$5*'W10'!$D$5,0)))))))))</f>
        <v>0</v>
      </c>
      <c r="E346" s="300"/>
      <c r="F346" s="302">
        <f ca="1">IF('W10'!$E$5=0,"",IF($C$4=$D$4,(IF(AND('R10'!$S$4="Multi",'R10'!$R$4="FY"),ROUND(((1+'R10'!$M26)^('W10'!$B$20+1)*'W10'!$E$9+(1+'R10'!$M26)^('W10'!$B$20+3)*'W10'!$E$10)/'W10'!$E$5*'R10'!$E26,0),(IF(AND('R10'!$S$4="Multi",'R10'!$R$4="PY"),ROUND('R10'!$E26*((1+'R10'!$M26)^2)/'W10'!$E$5*'W10'!$E$5,0),(IF(AND('R10'!$S$4&lt;&gt;"Multi",'R10'!$R$4="FY"),ROUND(((1+'R10'!$S$4)^('W10'!$B$20+1)*'W10'!$E$9+(1+'R10'!$S$4)^('W10'!$B$20+2)*'W10'!$E$10)/'W10'!$E$5*'R10'!$E26,0),ROUND('R10'!$E26*((1+'R10'!$S$4)^2)/'W10'!$E$5*'W10'!$E$5,0))))))),(IF(AND('R10'!$S$4="Multi",'R10'!$R$4="FY"),ROUND(((1+'R10'!$M26)^('W10'!$B$20+2)*'W10'!$E$9+(1+'R10'!$M26)^('W10'!$B$20+3)*'W10'!$E$10)/'W10'!$E$5*'R10'!$E26,0),(IF(AND('R10'!$S$4="Multi",'R10'!$R$4="PY"),ROUND('R10'!$E26*((1+'R10'!$M26)^2)/'W10'!$E$5*'W10'!$E$5,0),(IF(AND('R10'!$S$4&lt;&gt;"Multi",'R10'!$R$4="FY"),ROUND(((1+'R10'!$S$4)^('W10'!$B$20+2)*'W10'!$E$9+(1+'R10'!$S$4)^('W10'!$B$20+3)*'W10'!$E$10)/'W10'!$E$5*'R10'!$E26,0),ROUND('R10'!$E26*((1+'R10'!$S$4)^2)/'W10'!$E$5*'W10'!$E$5,0)))))))))</f>
        <v>0</v>
      </c>
      <c r="G346" s="300"/>
      <c r="H346" s="302">
        <f ca="1">IF('W10'!$F$5=0,"",IF($C$4=$D$4,(IF(AND('R10'!$S$4="Multi",'R10'!$R$4="FY"),ROUND(((1+'R10'!$M26)^('W10'!$B$20+2)*'W10'!$F$9+(1+'R10'!$M26)^('W10'!$B$20+3)*'W10'!$F$10)/'W10'!$F$5*'R10'!$E26,0),(IF(AND('R10'!$S$4="Multi",'R10'!$R$4="PY"),ROUND('R10'!$E26*((1+'R10'!$M26)^3)/'W10'!$F$5*'W10'!$F$5,0),(IF(AND('R10'!$S$4&lt;&gt;"Multi",'R10'!$R$4="FY"),ROUND(((1+'R10'!$S$4)^('W10'!$B$20+2)*'W10'!$F$9+(1+'R10'!$S$4)^('W10'!$B$20+3)*'W10'!$F$10)/'W10'!$F$5*'R10'!$E26,0),ROUND('R10'!$E26*((1+'R10'!$S$4)^3)/'W10'!$F$5*'W10'!$F$5,0))))))),(IF(AND('R10'!$S$4="Multi",'R10'!$R$4="FY"),ROUND(((1+'R10'!$M26)^('W10'!$B$20+3)*'W10'!$F$9+(1+'R10'!$M26)^('W10'!$B$20+4)*'W10'!$F$10)/'W10'!$F$5*'R10'!$E26,0),(IF(AND('R10'!$S$4="Multi",'R10'!$R$4="PY"),ROUND('R10'!$E26*((1+'R10'!$M26)^3)/'W10'!$F$5*'W10'!$F$5,0),(IF(AND('R10'!$S$4&lt;&gt;"Multi",'R10'!$R$4="FY"),ROUND(((1+'R10'!$S$4)^('W10'!$B$20+3)*'W10'!$F$9+(1+'R10'!$S$4)^('W10'!$B$20+4)*'W10'!$F$10)/'W10'!$F$5*'R10'!$E26,0),ROUND('R10'!$E26*((1+'R10'!$S$4)^3)/'W10'!$F$5*'W10'!$F$5,0)))))))))</f>
        <v>0</v>
      </c>
      <c r="I346" s="300"/>
      <c r="J346" s="302">
        <f ca="1">IF('W10'!$G$5=0,"",IF($C$4=$D$4,(IF(AND('R10'!$S$4="Multi",'R10'!$R$4="FY"),ROUND(((1+'R10'!$M26)^('W10'!$B$20+3)*'W10'!$G$9+(1+'R10'!$M26)^('W10'!$B$20+4)*'W10'!$G$10)/'W10'!$G$5*'R10'!$E26,0),(IF(AND('R10'!$S$4="Multi",'R10'!$R$4="PY"),ROUND('R10'!$E26*((1+'R10'!$M26)^4)/'W10'!$G$5*'W10'!$G$5,0),(IF(AND('R10'!$S$4&lt;&gt;"Multi",'R10'!$R$4="FY"),ROUND(((1+'R10'!$S$4)^('W10'!$B$20+3)*'W10'!$G$9+(1+'R10'!$S$4)^('W10'!$B$20+4)*'W10'!$G$10)/'W10'!$G$5*'R10'!$E26,0),ROUND('R10'!$E26*((1+'R10'!$S$4)^4)/'W10'!$G$5*'W10'!$G$5,0))))))),(IF(AND('R10'!$S$4="Multi",'R10'!$R$4="FY"),ROUND(((1+'R10'!$M26)^('W10'!$B$20+4)*'W10'!$G$9+(1+'R10'!$M26)^('W10'!$B$20+5)*'W10'!$G$10)/'W10'!$G$5*'R10'!$E26,0),(IF(AND('R10'!$S$4="Multi",'R10'!$R$4="PY"),ROUND('R10'!$E26*((1+'R10'!$M26)^4)/'W10'!$G$5*'W10'!$G$5,0),(IF(AND('R10'!$S$4&lt;&gt;"Multi",'R10'!$R$4="FY"),ROUND(((1+'R10'!$S$4)^('W10'!$B$20+4)*'W10'!$G$9+(1+'R10'!$S$4)^('W10'!$B$20+5)*'W10'!$G$10)/'W10'!$G$5*'R10'!$E26,0),ROUND('R10'!$E26*((1+'R10'!$S$4)^4)/'W10'!$G$5*'W10'!$G$5,0)))))))))</f>
        <v>0</v>
      </c>
      <c r="K346" s="300"/>
    </row>
    <row r="347" spans="1:11" x14ac:dyDescent="0.2">
      <c r="A347" s="82">
        <f>'P10'!B22</f>
        <v>0</v>
      </c>
      <c r="B347" s="302">
        <f ca="1">IF('W10'!$C$5=0,"",IF(AND('R10'!$S$4="Multi",'R10'!$R$4="FY"),ROUND(((1+'R10'!$M27)^'W10'!$B$20*'W10'!$C$9+(1+'R10'!$M27)^('W10'!$B$20+1)*'W10'!$C$10)/('W10'!$C$5)*'R10'!$E27,0),(IF(AND('R10'!$S$4="Multi",'R10'!$R$4="PY"),ROUND('R10'!$E27/('W10'!$C$5)*'W10'!$C$5,0),(IF(AND('R10'!$S$4&lt;&gt;"Multi",'R10'!$R$4="FY"),ROUND(((1+'R10'!$S$4)^'W10'!$B$20*'W10'!$C$9+(1+'R10'!$S$4)^('W10'!$B$20+1)*'W10'!$C$10)/'W10'!$C$5*'R10'!$E27,0),ROUND('R10'!$E27/'W10'!$C$5*'W10'!$C$5,0)))))))</f>
        <v>0</v>
      </c>
      <c r="C347" s="300"/>
      <c r="D347" s="302">
        <f ca="1">IF('W10'!$D$5=0,"",IF($C$4=$D$4,(IF(AND('R10'!$S$4="Multi",'R10'!$R$4="FY"),ROUND(((1+'R10'!$M27)^('W10'!$B$20)*'W10'!$D$9+(1+'R10'!$M27)^('W10'!$B$20+1)*'W10'!$D$10)/'W10'!$D$5*'R10'!$E27,0),(IF(AND('R10'!$S$4="Multi",'R10'!$R$4="PY"),ROUND('R10'!$E27*(1+'R10'!$M27)/'W10'!$D$5*'W10'!$D$5,0),(IF(AND('R10'!$S$4&lt;&gt;"Multi",'R10'!$R$4="FY"),ROUND(((1+'R10'!$S$4)^('W10'!$B$20)*'W10'!$D$9+(1+'R10'!$S$4)^('W10'!$B$20+1)*'W10'!$D$10)/'W10'!$D$5*'R10'!$E27,0),ROUND('R10'!$E27*(1+'R10'!$S$4)/'W10'!$D$5*'W10'!$D$5,0))))))),(IF(AND('R10'!$S$4="Multi",'R10'!$R$4="FY"),ROUND(((1+'R10'!$M27)^('W10'!$B$20+1)*'W10'!$D$9+(1+'R10'!$M27)^('W10'!$B$20+2)*'W10'!$D$10)/'W10'!$D$5*'R10'!$E27,0),(IF(AND('R10'!$S$4="Multi",'R10'!$R$4="PY"),ROUND('R10'!$E27*(1+'R10'!$M27)/'W10'!$D$5*'W10'!$D$5,0),(IF(AND('R10'!$S$4&lt;&gt;"Multi",'R10'!$R$4="FY"),ROUND(((1+'R10'!$S$4)^('W10'!$B$20+1)*'W10'!$D$9+(1+'R10'!$S$4)^('W10'!$B$20+2)*'W10'!$D$10)/'W10'!$D$5*'R10'!$E27,0),ROUND('R10'!$E27*(1+'R10'!$S$4)/'W10'!$D$5*'W10'!$D$5,0)))))))))</f>
        <v>0</v>
      </c>
      <c r="E347" s="300"/>
      <c r="F347" s="302">
        <f ca="1">IF('W10'!$E$5=0,"",IF($C$4=$D$4,(IF(AND('R10'!$S$4="Multi",'R10'!$R$4="FY"),ROUND(((1+'R10'!$M27)^('W10'!$B$20+1)*'W10'!$E$9+(1+'R10'!$M27)^('W10'!$B$20+3)*'W10'!$E$10)/'W10'!$E$5*'R10'!$E27,0),(IF(AND('R10'!$S$4="Multi",'R10'!$R$4="PY"),ROUND('R10'!$E27*((1+'R10'!$M27)^2)/'W10'!$E$5*'W10'!$E$5,0),(IF(AND('R10'!$S$4&lt;&gt;"Multi",'R10'!$R$4="FY"),ROUND(((1+'R10'!$S$4)^('W10'!$B$20+1)*'W10'!$E$9+(1+'R10'!$S$4)^('W10'!$B$20+2)*'W10'!$E$10)/'W10'!$E$5*'R10'!$E27,0),ROUND('R10'!$E27*((1+'R10'!$S$4)^2)/'W10'!$E$5*'W10'!$E$5,0))))))),(IF(AND('R10'!$S$4="Multi",'R10'!$R$4="FY"),ROUND(((1+'R10'!$M27)^('W10'!$B$20+2)*'W10'!$E$9+(1+'R10'!$M27)^('W10'!$B$20+3)*'W10'!$E$10)/'W10'!$E$5*'R10'!$E27,0),(IF(AND('R10'!$S$4="Multi",'R10'!$R$4="PY"),ROUND('R10'!$E27*((1+'R10'!$M27)^2)/'W10'!$E$5*'W10'!$E$5,0),(IF(AND('R10'!$S$4&lt;&gt;"Multi",'R10'!$R$4="FY"),ROUND(((1+'R10'!$S$4)^('W10'!$B$20+2)*'W10'!$E$9+(1+'R10'!$S$4)^('W10'!$B$20+3)*'W10'!$E$10)/'W10'!$E$5*'R10'!$E27,0),ROUND('R10'!$E27*((1+'R10'!$S$4)^2)/'W10'!$E$5*'W10'!$E$5,0)))))))))</f>
        <v>0</v>
      </c>
      <c r="G347" s="300"/>
      <c r="H347" s="302">
        <f ca="1">IF('W10'!$F$5=0,"",IF($C$4=$D$4,(IF(AND('R10'!$S$4="Multi",'R10'!$R$4="FY"),ROUND(((1+'R10'!$M27)^('W10'!$B$20+2)*'W10'!$F$9+(1+'R10'!$M27)^('W10'!$B$20+3)*'W10'!$F$10)/'W10'!$F$5*'R10'!$E27,0),(IF(AND('R10'!$S$4="Multi",'R10'!$R$4="PY"),ROUND('R10'!$E27*((1+'R10'!$M27)^3)/'W10'!$F$5*'W10'!$F$5,0),(IF(AND('R10'!$S$4&lt;&gt;"Multi",'R10'!$R$4="FY"),ROUND(((1+'R10'!$S$4)^('W10'!$B$20+2)*'W10'!$F$9+(1+'R10'!$S$4)^('W10'!$B$20+3)*'W10'!$F$10)/'W10'!$F$5*'R10'!$E27,0),ROUND('R10'!$E27*((1+'R10'!$S$4)^3)/'W10'!$F$5*'W10'!$F$5,0))))))),(IF(AND('R10'!$S$4="Multi",'R10'!$R$4="FY"),ROUND(((1+'R10'!$M27)^('W10'!$B$20+3)*'W10'!$F$9+(1+'R10'!$M27)^('W10'!$B$20+4)*'W10'!$F$10)/'W10'!$F$5*'R10'!$E27,0),(IF(AND('R10'!$S$4="Multi",'R10'!$R$4="PY"),ROUND('R10'!$E27*((1+'R10'!$M27)^3)/'W10'!$F$5*'W10'!$F$5,0),(IF(AND('R10'!$S$4&lt;&gt;"Multi",'R10'!$R$4="FY"),ROUND(((1+'R10'!$S$4)^('W10'!$B$20+3)*'W10'!$F$9+(1+'R10'!$S$4)^('W10'!$B$20+4)*'W10'!$F$10)/'W10'!$F$5*'R10'!$E27,0),ROUND('R10'!$E27*((1+'R10'!$S$4)^3)/'W10'!$F$5*'W10'!$F$5,0)))))))))</f>
        <v>0</v>
      </c>
      <c r="I347" s="300"/>
      <c r="J347" s="302">
        <f ca="1">IF('W10'!$G$5=0,"",IF($C$4=$D$4,(IF(AND('R10'!$S$4="Multi",'R10'!$R$4="FY"),ROUND(((1+'R10'!$M27)^('W10'!$B$20+3)*'W10'!$G$9+(1+'R10'!$M27)^('W10'!$B$20+4)*'W10'!$G$10)/'W10'!$G$5*'R10'!$E27,0),(IF(AND('R10'!$S$4="Multi",'R10'!$R$4="PY"),ROUND('R10'!$E27*((1+'R10'!$M27)^4)/'W10'!$G$5*'W10'!$G$5,0),(IF(AND('R10'!$S$4&lt;&gt;"Multi",'R10'!$R$4="FY"),ROUND(((1+'R10'!$S$4)^('W10'!$B$20+3)*'W10'!$G$9+(1+'R10'!$S$4)^('W10'!$B$20+4)*'W10'!$G$10)/'W10'!$G$5*'R10'!$E27,0),ROUND('R10'!$E27*((1+'R10'!$S$4)^4)/'W10'!$G$5*'W10'!$G$5,0))))))),(IF(AND('R10'!$S$4="Multi",'R10'!$R$4="FY"),ROUND(((1+'R10'!$M27)^('W10'!$B$20+4)*'W10'!$G$9+(1+'R10'!$M27)^('W10'!$B$20+5)*'W10'!$G$10)/'W10'!$G$5*'R10'!$E27,0),(IF(AND('R10'!$S$4="Multi",'R10'!$R$4="PY"),ROUND('R10'!$E27*((1+'R10'!$M27)^4)/'W10'!$G$5*'W10'!$G$5,0),(IF(AND('R10'!$S$4&lt;&gt;"Multi",'R10'!$R$4="FY"),ROUND(((1+'R10'!$S$4)^('W10'!$B$20+4)*'W10'!$G$9+(1+'R10'!$S$4)^('W10'!$B$20+5)*'W10'!$G$10)/'W10'!$G$5*'R10'!$E27,0),ROUND('R10'!$E27*((1+'R10'!$S$4)^4)/'W10'!$G$5*'W10'!$G$5,0)))))))))</f>
        <v>0</v>
      </c>
      <c r="K347" s="300"/>
    </row>
    <row r="348" spans="1:11" x14ac:dyDescent="0.2">
      <c r="A348" s="82">
        <f>'P10'!B23</f>
        <v>0</v>
      </c>
      <c r="B348" s="302">
        <f ca="1">IF('W10'!$C$5=0,"",IF(AND('R10'!$S$4="Multi",'R10'!$R$4="FY"),ROUND(((1+'R10'!$M28)^'W10'!$B$20*'W10'!$C$9+(1+'R10'!$M28)^('W10'!$B$20+1)*'W10'!$C$10)/('W10'!$C$5)*'R10'!$E28,0),(IF(AND('R10'!$S$4="Multi",'R10'!$R$4="PY"),ROUND('R10'!$E28/('W10'!$C$5)*'W10'!$C$5,0),(IF(AND('R10'!$S$4&lt;&gt;"Multi",'R10'!$R$4="FY"),ROUND(((1+'R10'!$S$4)^'W10'!$B$20*'W10'!$C$9+(1+'R10'!$S$4)^('W10'!$B$20+1)*'W10'!$C$10)/'W10'!$C$5*'R10'!$E28,0),ROUND('R10'!$E28/'W10'!$C$5*'W10'!$C$5,0)))))))</f>
        <v>0</v>
      </c>
      <c r="C348" s="300"/>
      <c r="D348" s="302">
        <f ca="1">IF('W10'!$D$5=0,"",IF($C$4=$D$4,(IF(AND('R10'!$S$4="Multi",'R10'!$R$4="FY"),ROUND(((1+'R10'!$M28)^('W10'!$B$20)*'W10'!$D$9+(1+'R10'!$M28)^('W10'!$B$20+1)*'W10'!$D$10)/'W10'!$D$5*'R10'!$E28,0),(IF(AND('R10'!$S$4="Multi",'R10'!$R$4="PY"),ROUND('R10'!$E28*(1+'R10'!$M28)/'W10'!$D$5*'W10'!$D$5,0),(IF(AND('R10'!$S$4&lt;&gt;"Multi",'R10'!$R$4="FY"),ROUND(((1+'R10'!$S$4)^('W10'!$B$20)*'W10'!$D$9+(1+'R10'!$S$4)^('W10'!$B$20+1)*'W10'!$D$10)/'W10'!$D$5*'R10'!$E28,0),ROUND('R10'!$E28*(1+'R10'!$S$4)/'W10'!$D$5*'W10'!$D$5,0))))))),(IF(AND('R10'!$S$4="Multi",'R10'!$R$4="FY"),ROUND(((1+'R10'!$M28)^('W10'!$B$20+1)*'W10'!$D$9+(1+'R10'!$M28)^('W10'!$B$20+2)*'W10'!$D$10)/'W10'!$D$5*'R10'!$E28,0),(IF(AND('R10'!$S$4="Multi",'R10'!$R$4="PY"),ROUND('R10'!$E28*(1+'R10'!$M28)/'W10'!$D$5*'W10'!$D$5,0),(IF(AND('R10'!$S$4&lt;&gt;"Multi",'R10'!$R$4="FY"),ROUND(((1+'R10'!$S$4)^('W10'!$B$20+1)*'W10'!$D$9+(1+'R10'!$S$4)^('W10'!$B$20+2)*'W10'!$D$10)/'W10'!$D$5*'R10'!$E28,0),ROUND('R10'!$E28*(1+'R10'!$S$4)/'W10'!$D$5*'W10'!$D$5,0)))))))))</f>
        <v>0</v>
      </c>
      <c r="E348" s="300"/>
      <c r="F348" s="302">
        <f ca="1">IF('W10'!$E$5=0,"",IF($C$4=$D$4,(IF(AND('R10'!$S$4="Multi",'R10'!$R$4="FY"),ROUND(((1+'R10'!$M28)^('W10'!$B$20+1)*'W10'!$E$9+(1+'R10'!$M28)^('W10'!$B$20+3)*'W10'!$E$10)/'W10'!$E$5*'R10'!$E28,0),(IF(AND('R10'!$S$4="Multi",'R10'!$R$4="PY"),ROUND('R10'!$E28*((1+'R10'!$M28)^2)/'W10'!$E$5*'W10'!$E$5,0),(IF(AND('R10'!$S$4&lt;&gt;"Multi",'R10'!$R$4="FY"),ROUND(((1+'R10'!$S$4)^('W10'!$B$20+1)*'W10'!$E$9+(1+'R10'!$S$4)^('W10'!$B$20+2)*'W10'!$E$10)/'W10'!$E$5*'R10'!$E28,0),ROUND('R10'!$E28*((1+'R10'!$S$4)^2)/'W10'!$E$5*'W10'!$E$5,0))))))),(IF(AND('R10'!$S$4="Multi",'R10'!$R$4="FY"),ROUND(((1+'R10'!$M28)^('W10'!$B$20+2)*'W10'!$E$9+(1+'R10'!$M28)^('W10'!$B$20+3)*'W10'!$E$10)/'W10'!$E$5*'R10'!$E28,0),(IF(AND('R10'!$S$4="Multi",'R10'!$R$4="PY"),ROUND('R10'!$E28*((1+'R10'!$M28)^2)/'W10'!$E$5*'W10'!$E$5,0),(IF(AND('R10'!$S$4&lt;&gt;"Multi",'R10'!$R$4="FY"),ROUND(((1+'R10'!$S$4)^('W10'!$B$20+2)*'W10'!$E$9+(1+'R10'!$S$4)^('W10'!$B$20+3)*'W10'!$E$10)/'W10'!$E$5*'R10'!$E28,0),ROUND('R10'!$E28*((1+'R10'!$S$4)^2)/'W10'!$E$5*'W10'!$E$5,0)))))))))</f>
        <v>0</v>
      </c>
      <c r="G348" s="300"/>
      <c r="H348" s="302">
        <f ca="1">IF('W10'!$F$5=0,"",IF($C$4=$D$4,(IF(AND('R10'!$S$4="Multi",'R10'!$R$4="FY"),ROUND(((1+'R10'!$M28)^('W10'!$B$20+2)*'W10'!$F$9+(1+'R10'!$M28)^('W10'!$B$20+3)*'W10'!$F$10)/'W10'!$F$5*'R10'!$E28,0),(IF(AND('R10'!$S$4="Multi",'R10'!$R$4="PY"),ROUND('R10'!$E28*((1+'R10'!$M28)^3)/'W10'!$F$5*'W10'!$F$5,0),(IF(AND('R10'!$S$4&lt;&gt;"Multi",'R10'!$R$4="FY"),ROUND(((1+'R10'!$S$4)^('W10'!$B$20+2)*'W10'!$F$9+(1+'R10'!$S$4)^('W10'!$B$20+3)*'W10'!$F$10)/'W10'!$F$5*'R10'!$E28,0),ROUND('R10'!$E28*((1+'R10'!$S$4)^3)/'W10'!$F$5*'W10'!$F$5,0))))))),(IF(AND('R10'!$S$4="Multi",'R10'!$R$4="FY"),ROUND(((1+'R10'!$M28)^('W10'!$B$20+3)*'W10'!$F$9+(1+'R10'!$M28)^('W10'!$B$20+4)*'W10'!$F$10)/'W10'!$F$5*'R10'!$E28,0),(IF(AND('R10'!$S$4="Multi",'R10'!$R$4="PY"),ROUND('R10'!$E28*((1+'R10'!$M28)^3)/'W10'!$F$5*'W10'!$F$5,0),(IF(AND('R10'!$S$4&lt;&gt;"Multi",'R10'!$R$4="FY"),ROUND(((1+'R10'!$S$4)^('W10'!$B$20+3)*'W10'!$F$9+(1+'R10'!$S$4)^('W10'!$B$20+4)*'W10'!$F$10)/'W10'!$F$5*'R10'!$E28,0),ROUND('R10'!$E28*((1+'R10'!$S$4)^3)/'W10'!$F$5*'W10'!$F$5,0)))))))))</f>
        <v>0</v>
      </c>
      <c r="I348" s="300"/>
      <c r="J348" s="302">
        <f ca="1">IF('W10'!$G$5=0,"",IF($C$4=$D$4,(IF(AND('R10'!$S$4="Multi",'R10'!$R$4="FY"),ROUND(((1+'R10'!$M28)^('W10'!$B$20+3)*'W10'!$G$9+(1+'R10'!$M28)^('W10'!$B$20+4)*'W10'!$G$10)/'W10'!$G$5*'R10'!$E28,0),(IF(AND('R10'!$S$4="Multi",'R10'!$R$4="PY"),ROUND('R10'!$E28*((1+'R10'!$M28)^4)/'W10'!$G$5*'W10'!$G$5,0),(IF(AND('R10'!$S$4&lt;&gt;"Multi",'R10'!$R$4="FY"),ROUND(((1+'R10'!$S$4)^('W10'!$B$20+3)*'W10'!$G$9+(1+'R10'!$S$4)^('W10'!$B$20+4)*'W10'!$G$10)/'W10'!$G$5*'R10'!$E28,0),ROUND('R10'!$E28*((1+'R10'!$S$4)^4)/'W10'!$G$5*'W10'!$G$5,0))))))),(IF(AND('R10'!$S$4="Multi",'R10'!$R$4="FY"),ROUND(((1+'R10'!$M28)^('W10'!$B$20+4)*'W10'!$G$9+(1+'R10'!$M28)^('W10'!$B$20+5)*'W10'!$G$10)/'W10'!$G$5*'R10'!$E28,0),(IF(AND('R10'!$S$4="Multi",'R10'!$R$4="PY"),ROUND('R10'!$E28*((1+'R10'!$M28)^4)/'W10'!$G$5*'W10'!$G$5,0),(IF(AND('R10'!$S$4&lt;&gt;"Multi",'R10'!$R$4="FY"),ROUND(((1+'R10'!$S$4)^('W10'!$B$20+4)*'W10'!$G$9+(1+'R10'!$S$4)^('W10'!$B$20+5)*'W10'!$G$10)/'W10'!$G$5*'R10'!$E28,0),ROUND('R10'!$E28*((1+'R10'!$S$4)^4)/'W10'!$G$5*'W10'!$G$5,0)))))))))</f>
        <v>0</v>
      </c>
      <c r="K348" s="300"/>
    </row>
    <row r="349" spans="1:11" x14ac:dyDescent="0.2">
      <c r="A349" s="82">
        <f>'P10'!B24</f>
        <v>0</v>
      </c>
      <c r="B349" s="302">
        <f ca="1">IF('W10'!$C$5=0,"",IF(AND('R10'!$S$4="Multi",'R10'!$R$4="FY"),ROUND(((1+'R10'!$M29)^'W10'!$B$20*'W10'!$C$9+(1+'R10'!$M29)^('W10'!$B$20+1)*'W10'!$C$10)/('W10'!$C$5)*'R10'!$E29,0),(IF(AND('R10'!$S$4="Multi",'R10'!$R$4="PY"),ROUND('R10'!$E29/('W10'!$C$5)*'W10'!$C$5,0),(IF(AND('R10'!$S$4&lt;&gt;"Multi",'R10'!$R$4="FY"),ROUND(((1+'R10'!$S$4)^'W10'!$B$20*'W10'!$C$9+(1+'R10'!$S$4)^('W10'!$B$20+1)*'W10'!$C$10)/'W10'!$C$5*'R10'!$E29,0),ROUND('R10'!$E29/'W10'!$C$5*'W10'!$C$5,0)))))))</f>
        <v>0</v>
      </c>
      <c r="C349" s="300"/>
      <c r="D349" s="302">
        <f ca="1">IF('W10'!$D$5=0,"",IF($C$4=$D$4,(IF(AND('R10'!$S$4="Multi",'R10'!$R$4="FY"),ROUND(((1+'R10'!$M29)^('W10'!$B$20)*'W10'!$D$9+(1+'R10'!$M29)^('W10'!$B$20+1)*'W10'!$D$10)/'W10'!$D$5*'R10'!$E29,0),(IF(AND('R10'!$S$4="Multi",'R10'!$R$4="PY"),ROUND('R10'!$E29*(1+'R10'!$M29)/'W10'!$D$5*'W10'!$D$5,0),(IF(AND('R10'!$S$4&lt;&gt;"Multi",'R10'!$R$4="FY"),ROUND(((1+'R10'!$S$4)^('W10'!$B$20)*'W10'!$D$9+(1+'R10'!$S$4)^('W10'!$B$20+1)*'W10'!$D$10)/'W10'!$D$5*'R10'!$E29,0),ROUND('R10'!$E29*(1+'R10'!$S$4)/'W10'!$D$5*'W10'!$D$5,0))))))),(IF(AND('R10'!$S$4="Multi",'R10'!$R$4="FY"),ROUND(((1+'R10'!$M29)^('W10'!$B$20+1)*'W10'!$D$9+(1+'R10'!$M29)^('W10'!$B$20+2)*'W10'!$D$10)/'W10'!$D$5*'R10'!$E29,0),(IF(AND('R10'!$S$4="Multi",'R10'!$R$4="PY"),ROUND('R10'!$E29*(1+'R10'!$M29)/'W10'!$D$5*'W10'!$D$5,0),(IF(AND('R10'!$S$4&lt;&gt;"Multi",'R10'!$R$4="FY"),ROUND(((1+'R10'!$S$4)^('W10'!$B$20+1)*'W10'!$D$9+(1+'R10'!$S$4)^('W10'!$B$20+2)*'W10'!$D$10)/'W10'!$D$5*'R10'!$E29,0),ROUND('R10'!$E29*(1+'R10'!$S$4)/'W10'!$D$5*'W10'!$D$5,0)))))))))</f>
        <v>0</v>
      </c>
      <c r="E349" s="300"/>
      <c r="F349" s="302">
        <f ca="1">IF('W10'!$E$5=0,"",IF($C$4=$D$4,(IF(AND('R10'!$S$4="Multi",'R10'!$R$4="FY"),ROUND(((1+'R10'!$M29)^('W10'!$B$20+1)*'W10'!$E$9+(1+'R10'!$M29)^('W10'!$B$20+3)*'W10'!$E$10)/'W10'!$E$5*'R10'!$E29,0),(IF(AND('R10'!$S$4="Multi",'R10'!$R$4="PY"),ROUND('R10'!$E29*((1+'R10'!$M29)^2)/'W10'!$E$5*'W10'!$E$5,0),(IF(AND('R10'!$S$4&lt;&gt;"Multi",'R10'!$R$4="FY"),ROUND(((1+'R10'!$S$4)^('W10'!$B$20+1)*'W10'!$E$9+(1+'R10'!$S$4)^('W10'!$B$20+2)*'W10'!$E$10)/'W10'!$E$5*'R10'!$E29,0),ROUND('R10'!$E29*((1+'R10'!$S$4)^2)/'W10'!$E$5*'W10'!$E$5,0))))))),(IF(AND('R10'!$S$4="Multi",'R10'!$R$4="FY"),ROUND(((1+'R10'!$M29)^('W10'!$B$20+2)*'W10'!$E$9+(1+'R10'!$M29)^('W10'!$B$20+3)*'W10'!$E$10)/'W10'!$E$5*'R10'!$E29,0),(IF(AND('R10'!$S$4="Multi",'R10'!$R$4="PY"),ROUND('R10'!$E29*((1+'R10'!$M29)^2)/'W10'!$E$5*'W10'!$E$5,0),(IF(AND('R10'!$S$4&lt;&gt;"Multi",'R10'!$R$4="FY"),ROUND(((1+'R10'!$S$4)^('W10'!$B$20+2)*'W10'!$E$9+(1+'R10'!$S$4)^('W10'!$B$20+3)*'W10'!$E$10)/'W10'!$E$5*'R10'!$E29,0),ROUND('R10'!$E29*((1+'R10'!$S$4)^2)/'W10'!$E$5*'W10'!$E$5,0)))))))))</f>
        <v>0</v>
      </c>
      <c r="G349" s="300"/>
      <c r="H349" s="302">
        <f ca="1">IF('W10'!$F$5=0,"",IF($C$4=$D$4,(IF(AND('R10'!$S$4="Multi",'R10'!$R$4="FY"),ROUND(((1+'R10'!$M29)^('W10'!$B$20+2)*'W10'!$F$9+(1+'R10'!$M29)^('W10'!$B$20+3)*'W10'!$F$10)/'W10'!$F$5*'R10'!$E29,0),(IF(AND('R10'!$S$4="Multi",'R10'!$R$4="PY"),ROUND('R10'!$E29*((1+'R10'!$M29)^3)/'W10'!$F$5*'W10'!$F$5,0),(IF(AND('R10'!$S$4&lt;&gt;"Multi",'R10'!$R$4="FY"),ROUND(((1+'R10'!$S$4)^('W10'!$B$20+2)*'W10'!$F$9+(1+'R10'!$S$4)^('W10'!$B$20+3)*'W10'!$F$10)/'W10'!$F$5*'R10'!$E29,0),ROUND('R10'!$E29*((1+'R10'!$S$4)^3)/'W10'!$F$5*'W10'!$F$5,0))))))),(IF(AND('R10'!$S$4="Multi",'R10'!$R$4="FY"),ROUND(((1+'R10'!$M29)^('W10'!$B$20+3)*'W10'!$F$9+(1+'R10'!$M29)^('W10'!$B$20+4)*'W10'!$F$10)/'W10'!$F$5*'R10'!$E29,0),(IF(AND('R10'!$S$4="Multi",'R10'!$R$4="PY"),ROUND('R10'!$E29*((1+'R10'!$M29)^3)/'W10'!$F$5*'W10'!$F$5,0),(IF(AND('R10'!$S$4&lt;&gt;"Multi",'R10'!$R$4="FY"),ROUND(((1+'R10'!$S$4)^('W10'!$B$20+3)*'W10'!$F$9+(1+'R10'!$S$4)^('W10'!$B$20+4)*'W10'!$F$10)/'W10'!$F$5*'R10'!$E29,0),ROUND('R10'!$E29*((1+'R10'!$S$4)^3)/'W10'!$F$5*'W10'!$F$5,0)))))))))</f>
        <v>0</v>
      </c>
      <c r="I349" s="300"/>
      <c r="J349" s="302">
        <f ca="1">IF('W10'!$G$5=0,"",IF($C$4=$D$4,(IF(AND('R10'!$S$4="Multi",'R10'!$R$4="FY"),ROUND(((1+'R10'!$M29)^('W10'!$B$20+3)*'W10'!$G$9+(1+'R10'!$M29)^('W10'!$B$20+4)*'W10'!$G$10)/'W10'!$G$5*'R10'!$E29,0),(IF(AND('R10'!$S$4="Multi",'R10'!$R$4="PY"),ROUND('R10'!$E29*((1+'R10'!$M29)^4)/'W10'!$G$5*'W10'!$G$5,0),(IF(AND('R10'!$S$4&lt;&gt;"Multi",'R10'!$R$4="FY"),ROUND(((1+'R10'!$S$4)^('W10'!$B$20+3)*'W10'!$G$9+(1+'R10'!$S$4)^('W10'!$B$20+4)*'W10'!$G$10)/'W10'!$G$5*'R10'!$E29,0),ROUND('R10'!$E29*((1+'R10'!$S$4)^4)/'W10'!$G$5*'W10'!$G$5,0))))))),(IF(AND('R10'!$S$4="Multi",'R10'!$R$4="FY"),ROUND(((1+'R10'!$M29)^('W10'!$B$20+4)*'W10'!$G$9+(1+'R10'!$M29)^('W10'!$B$20+5)*'W10'!$G$10)/'W10'!$G$5*'R10'!$E29,0),(IF(AND('R10'!$S$4="Multi",'R10'!$R$4="PY"),ROUND('R10'!$E29*((1+'R10'!$M29)^4)/'W10'!$G$5*'W10'!$G$5,0),(IF(AND('R10'!$S$4&lt;&gt;"Multi",'R10'!$R$4="FY"),ROUND(((1+'R10'!$S$4)^('W10'!$B$20+4)*'W10'!$G$9+(1+'R10'!$S$4)^('W10'!$B$20+5)*'W10'!$G$10)/'W10'!$G$5*'R10'!$E29,0),ROUND('R10'!$E29*((1+'R10'!$S$4)^4)/'W10'!$G$5*'W10'!$G$5,0)))))))))</f>
        <v>0</v>
      </c>
      <c r="K349" s="300"/>
    </row>
    <row r="350" spans="1:11" x14ac:dyDescent="0.2">
      <c r="A350" s="82">
        <f>'P10'!B25</f>
        <v>0</v>
      </c>
      <c r="B350" s="302">
        <f ca="1">IF('W10'!$C$5=0,"",IF(AND('R10'!$S$4="Multi",'R10'!$R$4="FY"),ROUND(((1+'R10'!$M30)^'W10'!$B$20*'W10'!$C$9+(1+'R10'!$M30)^('W10'!$B$20+1)*'W10'!$C$10)/('W10'!$C$5)*'R10'!$E30,0),(IF(AND('R10'!$S$4="Multi",'R10'!$R$4="PY"),ROUND('R10'!$E30/('W10'!$C$5)*'W10'!$C$5,0),(IF(AND('R10'!$S$4&lt;&gt;"Multi",'R10'!$R$4="FY"),ROUND(((1+'R10'!$S$4)^'W10'!$B$20*'W10'!$C$9+(1+'R10'!$S$4)^('W10'!$B$20+1)*'W10'!$C$10)/'W10'!$C$5*'R10'!$E30,0),ROUND('R10'!$E30/'W10'!$C$5*'W10'!$C$5,0)))))))</f>
        <v>0</v>
      </c>
      <c r="C350" s="300"/>
      <c r="D350" s="302">
        <f ca="1">IF('W10'!$D$5=0,"",IF($C$4=$D$4,(IF(AND('R10'!$S$4="Multi",'R10'!$R$4="FY"),ROUND(((1+'R10'!$M30)^('W10'!$B$20)*'W10'!$D$9+(1+'R10'!$M30)^('W10'!$B$20+1)*'W10'!$D$10)/'W10'!$D$5*'R10'!$E30,0),(IF(AND('R10'!$S$4="Multi",'R10'!$R$4="PY"),ROUND('R10'!$E30*(1+'R10'!$M30)/'W10'!$D$5*'W10'!$D$5,0),(IF(AND('R10'!$S$4&lt;&gt;"Multi",'R10'!$R$4="FY"),ROUND(((1+'R10'!$S$4)^('W10'!$B$20)*'W10'!$D$9+(1+'R10'!$S$4)^('W10'!$B$20+1)*'W10'!$D$10)/'W10'!$D$5*'R10'!$E30,0),ROUND('R10'!$E30*(1+'R10'!$S$4)/'W10'!$D$5*'W10'!$D$5,0))))))),(IF(AND('R10'!$S$4="Multi",'R10'!$R$4="FY"),ROUND(((1+'R10'!$M30)^('W10'!$B$20+1)*'W10'!$D$9+(1+'R10'!$M30)^('W10'!$B$20+2)*'W10'!$D$10)/'W10'!$D$5*'R10'!$E30,0),(IF(AND('R10'!$S$4="Multi",'R10'!$R$4="PY"),ROUND('R10'!$E30*(1+'R10'!$M30)/'W10'!$D$5*'W10'!$D$5,0),(IF(AND('R10'!$S$4&lt;&gt;"Multi",'R10'!$R$4="FY"),ROUND(((1+'R10'!$S$4)^('W10'!$B$20+1)*'W10'!$D$9+(1+'R10'!$S$4)^('W10'!$B$20+2)*'W10'!$D$10)/'W10'!$D$5*'R10'!$E30,0),ROUND('R10'!$E30*(1+'R10'!$S$4)/'W10'!$D$5*'W10'!$D$5,0)))))))))</f>
        <v>0</v>
      </c>
      <c r="E350" s="300"/>
      <c r="F350" s="302">
        <f ca="1">IF('W10'!$E$5=0,"",IF($C$4=$D$4,(IF(AND('R10'!$S$4="Multi",'R10'!$R$4="FY"),ROUND(((1+'R10'!$M30)^('W10'!$B$20+1)*'W10'!$E$9+(1+'R10'!$M30)^('W10'!$B$20+3)*'W10'!$E$10)/'W10'!$E$5*'R10'!$E30,0),(IF(AND('R10'!$S$4="Multi",'R10'!$R$4="PY"),ROUND('R10'!$E30*((1+'R10'!$M30)^2)/'W10'!$E$5*'W10'!$E$5,0),(IF(AND('R10'!$S$4&lt;&gt;"Multi",'R10'!$R$4="FY"),ROUND(((1+'R10'!$S$4)^('W10'!$B$20+1)*'W10'!$E$9+(1+'R10'!$S$4)^('W10'!$B$20+2)*'W10'!$E$10)/'W10'!$E$5*'R10'!$E30,0),ROUND('R10'!$E30*((1+'R10'!$S$4)^2)/'W10'!$E$5*'W10'!$E$5,0))))))),(IF(AND('R10'!$S$4="Multi",'R10'!$R$4="FY"),ROUND(((1+'R10'!$M30)^('W10'!$B$20+2)*'W10'!$E$9+(1+'R10'!$M30)^('W10'!$B$20+3)*'W10'!$E$10)/'W10'!$E$5*'R10'!$E30,0),(IF(AND('R10'!$S$4="Multi",'R10'!$R$4="PY"),ROUND('R10'!$E30*((1+'R10'!$M30)^2)/'W10'!$E$5*'W10'!$E$5,0),(IF(AND('R10'!$S$4&lt;&gt;"Multi",'R10'!$R$4="FY"),ROUND(((1+'R10'!$S$4)^('W10'!$B$20+2)*'W10'!$E$9+(1+'R10'!$S$4)^('W10'!$B$20+3)*'W10'!$E$10)/'W10'!$E$5*'R10'!$E30,0),ROUND('R10'!$E30*((1+'R10'!$S$4)^2)/'W10'!$E$5*'W10'!$E$5,0)))))))))</f>
        <v>0</v>
      </c>
      <c r="G350" s="300"/>
      <c r="H350" s="302">
        <f ca="1">IF('W10'!$F$5=0,"",IF($C$4=$D$4,(IF(AND('R10'!$S$4="Multi",'R10'!$R$4="FY"),ROUND(((1+'R10'!$M30)^('W10'!$B$20+2)*'W10'!$F$9+(1+'R10'!$M30)^('W10'!$B$20+3)*'W10'!$F$10)/'W10'!$F$5*'R10'!$E30,0),(IF(AND('R10'!$S$4="Multi",'R10'!$R$4="PY"),ROUND('R10'!$E30*((1+'R10'!$M30)^3)/'W10'!$F$5*'W10'!$F$5,0),(IF(AND('R10'!$S$4&lt;&gt;"Multi",'R10'!$R$4="FY"),ROUND(((1+'R10'!$S$4)^('W10'!$B$20+2)*'W10'!$F$9+(1+'R10'!$S$4)^('W10'!$B$20+3)*'W10'!$F$10)/'W10'!$F$5*'R10'!$E30,0),ROUND('R10'!$E30*((1+'R10'!$S$4)^3)/'W10'!$F$5*'W10'!$F$5,0))))))),(IF(AND('R10'!$S$4="Multi",'R10'!$R$4="FY"),ROUND(((1+'R10'!$M30)^('W10'!$B$20+3)*'W10'!$F$9+(1+'R10'!$M30)^('W10'!$B$20+4)*'W10'!$F$10)/'W10'!$F$5*'R10'!$E30,0),(IF(AND('R10'!$S$4="Multi",'R10'!$R$4="PY"),ROUND('R10'!$E30*((1+'R10'!$M30)^3)/'W10'!$F$5*'W10'!$F$5,0),(IF(AND('R10'!$S$4&lt;&gt;"Multi",'R10'!$R$4="FY"),ROUND(((1+'R10'!$S$4)^('W10'!$B$20+3)*'W10'!$F$9+(1+'R10'!$S$4)^('W10'!$B$20+4)*'W10'!$F$10)/'W10'!$F$5*'R10'!$E30,0),ROUND('R10'!$E30*((1+'R10'!$S$4)^3)/'W10'!$F$5*'W10'!$F$5,0)))))))))</f>
        <v>0</v>
      </c>
      <c r="I350" s="300"/>
      <c r="J350" s="302">
        <f ca="1">IF('W10'!$G$5=0,"",IF($C$4=$D$4,(IF(AND('R10'!$S$4="Multi",'R10'!$R$4="FY"),ROUND(((1+'R10'!$M30)^('W10'!$B$20+3)*'W10'!$G$9+(1+'R10'!$M30)^('W10'!$B$20+4)*'W10'!$G$10)/'W10'!$G$5*'R10'!$E30,0),(IF(AND('R10'!$S$4="Multi",'R10'!$R$4="PY"),ROUND('R10'!$E30*((1+'R10'!$M30)^4)/'W10'!$G$5*'W10'!$G$5,0),(IF(AND('R10'!$S$4&lt;&gt;"Multi",'R10'!$R$4="FY"),ROUND(((1+'R10'!$S$4)^('W10'!$B$20+3)*'W10'!$G$9+(1+'R10'!$S$4)^('W10'!$B$20+4)*'W10'!$G$10)/'W10'!$G$5*'R10'!$E30,0),ROUND('R10'!$E30*((1+'R10'!$S$4)^4)/'W10'!$G$5*'W10'!$G$5,0))))))),(IF(AND('R10'!$S$4="Multi",'R10'!$R$4="FY"),ROUND(((1+'R10'!$M30)^('W10'!$B$20+4)*'W10'!$G$9+(1+'R10'!$M30)^('W10'!$B$20+5)*'W10'!$G$10)/'W10'!$G$5*'R10'!$E30,0),(IF(AND('R10'!$S$4="Multi",'R10'!$R$4="PY"),ROUND('R10'!$E30*((1+'R10'!$M30)^4)/'W10'!$G$5*'W10'!$G$5,0),(IF(AND('R10'!$S$4&lt;&gt;"Multi",'R10'!$R$4="FY"),ROUND(((1+'R10'!$S$4)^('W10'!$B$20+4)*'W10'!$G$9+(1+'R10'!$S$4)^('W10'!$B$20+5)*'W10'!$G$10)/'W10'!$G$5*'R10'!$E30,0),ROUND('R10'!$E30*((1+'R10'!$S$4)^4)/'W10'!$G$5*'W10'!$G$5,0)))))))))</f>
        <v>0</v>
      </c>
      <c r="K350" s="300"/>
    </row>
    <row r="351" spans="1:11" x14ac:dyDescent="0.2">
      <c r="A351" s="82">
        <f>'P10'!B26</f>
        <v>0</v>
      </c>
      <c r="B351" s="302">
        <f ca="1">IF('W10'!$C$5=0,"",IF(AND('R10'!$S$4="Multi",'R10'!$R$4="FY"),ROUND(((1+'R10'!$M31)^'W10'!$B$20*'W10'!$C$9+(1+'R10'!$M31)^('W10'!$B$20+1)*'W10'!$C$10)/('W10'!$C$5)*'R10'!$E31,0),(IF(AND('R10'!$S$4="Multi",'R10'!$R$4="PY"),ROUND('R10'!$E31/('W10'!$C$5)*'W10'!$C$5,0),(IF(AND('R10'!$S$4&lt;&gt;"Multi",'R10'!$R$4="FY"),ROUND(((1+'R10'!$S$4)^'W10'!$B$20*'W10'!$C$9+(1+'R10'!$S$4)^('W10'!$B$20+1)*'W10'!$C$10)/'W10'!$C$5*'R10'!$E31,0),ROUND('R10'!$E31/'W10'!$C$5*'W10'!$C$5,0)))))))</f>
        <v>0</v>
      </c>
      <c r="C351" s="300"/>
      <c r="D351" s="302">
        <f ca="1">IF('W10'!$D$5=0,"",IF($C$4=$D$4,(IF(AND('R10'!$S$4="Multi",'R10'!$R$4="FY"),ROUND(((1+'R10'!$M31)^('W10'!$B$20)*'W10'!$D$9+(1+'R10'!$M31)^('W10'!$B$20+1)*'W10'!$D$10)/'W10'!$D$5*'R10'!$E31,0),(IF(AND('R10'!$S$4="Multi",'R10'!$R$4="PY"),ROUND('R10'!$E31*(1+'R10'!$M31)/'W10'!$D$5*'W10'!$D$5,0),(IF(AND('R10'!$S$4&lt;&gt;"Multi",'R10'!$R$4="FY"),ROUND(((1+'R10'!$S$4)^('W10'!$B$20)*'W10'!$D$9+(1+'R10'!$S$4)^('W10'!$B$20+1)*'W10'!$D$10)/'W10'!$D$5*'R10'!$E31,0),ROUND('R10'!$E31*(1+'R10'!$S$4)/'W10'!$D$5*'W10'!$D$5,0))))))),(IF(AND('R10'!$S$4="Multi",'R10'!$R$4="FY"),ROUND(((1+'R10'!$M31)^('W10'!$B$20+1)*'W10'!$D$9+(1+'R10'!$M31)^('W10'!$B$20+2)*'W10'!$D$10)/'W10'!$D$5*'R10'!$E31,0),(IF(AND('R10'!$S$4="Multi",'R10'!$R$4="PY"),ROUND('R10'!$E31*(1+'R10'!$M31)/'W10'!$D$5*'W10'!$D$5,0),(IF(AND('R10'!$S$4&lt;&gt;"Multi",'R10'!$R$4="FY"),ROUND(((1+'R10'!$S$4)^('W10'!$B$20+1)*'W10'!$D$9+(1+'R10'!$S$4)^('W10'!$B$20+2)*'W10'!$D$10)/'W10'!$D$5*'R10'!$E31,0),ROUND('R10'!$E31*(1+'R10'!$S$4)/'W10'!$D$5*'W10'!$D$5,0)))))))))</f>
        <v>0</v>
      </c>
      <c r="E351" s="300"/>
      <c r="F351" s="302">
        <f ca="1">IF('W10'!$E$5=0,"",IF($C$4=$D$4,(IF(AND('R10'!$S$4="Multi",'R10'!$R$4="FY"),ROUND(((1+'R10'!$M31)^('W10'!$B$20+1)*'W10'!$E$9+(1+'R10'!$M31)^('W10'!$B$20+3)*'W10'!$E$10)/'W10'!$E$5*'R10'!$E31,0),(IF(AND('R10'!$S$4="Multi",'R10'!$R$4="PY"),ROUND('R10'!$E31*((1+'R10'!$M31)^2)/'W10'!$E$5*'W10'!$E$5,0),(IF(AND('R10'!$S$4&lt;&gt;"Multi",'R10'!$R$4="FY"),ROUND(((1+'R10'!$S$4)^('W10'!$B$20+1)*'W10'!$E$9+(1+'R10'!$S$4)^('W10'!$B$20+2)*'W10'!$E$10)/'W10'!$E$5*'R10'!$E31,0),ROUND('R10'!$E31*((1+'R10'!$S$4)^2)/'W10'!$E$5*'W10'!$E$5,0))))))),(IF(AND('R10'!$S$4="Multi",'R10'!$R$4="FY"),ROUND(((1+'R10'!$M31)^('W10'!$B$20+2)*'W10'!$E$9+(1+'R10'!$M31)^('W10'!$B$20+3)*'W10'!$E$10)/'W10'!$E$5*'R10'!$E31,0),(IF(AND('R10'!$S$4="Multi",'R10'!$R$4="PY"),ROUND('R10'!$E31*((1+'R10'!$M31)^2)/'W10'!$E$5*'W10'!$E$5,0),(IF(AND('R10'!$S$4&lt;&gt;"Multi",'R10'!$R$4="FY"),ROUND(((1+'R10'!$S$4)^('W10'!$B$20+2)*'W10'!$E$9+(1+'R10'!$S$4)^('W10'!$B$20+3)*'W10'!$E$10)/'W10'!$E$5*'R10'!$E31,0),ROUND('R10'!$E31*((1+'R10'!$S$4)^2)/'W10'!$E$5*'W10'!$E$5,0)))))))))</f>
        <v>0</v>
      </c>
      <c r="G351" s="300"/>
      <c r="H351" s="302">
        <f ca="1">IF('W10'!$F$5=0,"",IF($C$4=$D$4,(IF(AND('R10'!$S$4="Multi",'R10'!$R$4="FY"),ROUND(((1+'R10'!$M31)^('W10'!$B$20+2)*'W10'!$F$9+(1+'R10'!$M31)^('W10'!$B$20+3)*'W10'!$F$10)/'W10'!$F$5*'R10'!$E31,0),(IF(AND('R10'!$S$4="Multi",'R10'!$R$4="PY"),ROUND('R10'!$E31*((1+'R10'!$M31)^3)/'W10'!$F$5*'W10'!$F$5,0),(IF(AND('R10'!$S$4&lt;&gt;"Multi",'R10'!$R$4="FY"),ROUND(((1+'R10'!$S$4)^('W10'!$B$20+2)*'W10'!$F$9+(1+'R10'!$S$4)^('W10'!$B$20+3)*'W10'!$F$10)/'W10'!$F$5*'R10'!$E31,0),ROUND('R10'!$E31*((1+'R10'!$S$4)^3)/'W10'!$F$5*'W10'!$F$5,0))))))),(IF(AND('R10'!$S$4="Multi",'R10'!$R$4="FY"),ROUND(((1+'R10'!$M31)^('W10'!$B$20+3)*'W10'!$F$9+(1+'R10'!$M31)^('W10'!$B$20+4)*'W10'!$F$10)/'W10'!$F$5*'R10'!$E31,0),(IF(AND('R10'!$S$4="Multi",'R10'!$R$4="PY"),ROUND('R10'!$E31*((1+'R10'!$M31)^3)/'W10'!$F$5*'W10'!$F$5,0),(IF(AND('R10'!$S$4&lt;&gt;"Multi",'R10'!$R$4="FY"),ROUND(((1+'R10'!$S$4)^('W10'!$B$20+3)*'W10'!$F$9+(1+'R10'!$S$4)^('W10'!$B$20+4)*'W10'!$F$10)/'W10'!$F$5*'R10'!$E31,0),ROUND('R10'!$E31*((1+'R10'!$S$4)^3)/'W10'!$F$5*'W10'!$F$5,0)))))))))</f>
        <v>0</v>
      </c>
      <c r="I351" s="300"/>
      <c r="J351" s="302">
        <f ca="1">IF('W10'!$G$5=0,"",IF($C$4=$D$4,(IF(AND('R10'!$S$4="Multi",'R10'!$R$4="FY"),ROUND(((1+'R10'!$M31)^('W10'!$B$20+3)*'W10'!$G$9+(1+'R10'!$M31)^('W10'!$B$20+4)*'W10'!$G$10)/'W10'!$G$5*'R10'!$E31,0),(IF(AND('R10'!$S$4="Multi",'R10'!$R$4="PY"),ROUND('R10'!$E31*((1+'R10'!$M31)^4)/'W10'!$G$5*'W10'!$G$5,0),(IF(AND('R10'!$S$4&lt;&gt;"Multi",'R10'!$R$4="FY"),ROUND(((1+'R10'!$S$4)^('W10'!$B$20+3)*'W10'!$G$9+(1+'R10'!$S$4)^('W10'!$B$20+4)*'W10'!$G$10)/'W10'!$G$5*'R10'!$E31,0),ROUND('R10'!$E31*((1+'R10'!$S$4)^4)/'W10'!$G$5*'W10'!$G$5,0))))))),(IF(AND('R10'!$S$4="Multi",'R10'!$R$4="FY"),ROUND(((1+'R10'!$M31)^('W10'!$B$20+4)*'W10'!$G$9+(1+'R10'!$M31)^('W10'!$B$20+5)*'W10'!$G$10)/'W10'!$G$5*'R10'!$E31,0),(IF(AND('R10'!$S$4="Multi",'R10'!$R$4="PY"),ROUND('R10'!$E31*((1+'R10'!$M31)^4)/'W10'!$G$5*'W10'!$G$5,0),(IF(AND('R10'!$S$4&lt;&gt;"Multi",'R10'!$R$4="FY"),ROUND(((1+'R10'!$S$4)^('W10'!$B$20+4)*'W10'!$G$9+(1+'R10'!$S$4)^('W10'!$B$20+5)*'W10'!$G$10)/'W10'!$G$5*'R10'!$E31,0),ROUND('R10'!$E31*((1+'R10'!$S$4)^4)/'W10'!$G$5*'W10'!$G$5,0)))))))))</f>
        <v>0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>
        <f ca="1">IF(B328="","",ROUND(B328/12*9,0))</f>
        <v>0</v>
      </c>
      <c r="C354" s="300"/>
      <c r="D354" s="299">
        <f ca="1">IF(D328="","",ROUND(D328/12*9,0))</f>
        <v>0</v>
      </c>
      <c r="E354" s="300"/>
      <c r="F354" s="299">
        <f ca="1">IF(F328="","",ROUND(F328/12*9,0))</f>
        <v>0</v>
      </c>
      <c r="G354" s="300"/>
      <c r="H354" s="299">
        <f ca="1">IF(H328="","",ROUND(H328/12*9,0))</f>
        <v>0</v>
      </c>
      <c r="I354" s="300"/>
      <c r="J354" s="299">
        <f ca="1">IF(J328="","",ROUND(J328/12*9,0))</f>
        <v>0</v>
      </c>
      <c r="K354" s="300"/>
    </row>
    <row r="355" spans="1:11" x14ac:dyDescent="0.2">
      <c r="A355" s="82"/>
      <c r="B355" s="299">
        <f t="shared" ref="B355:B377" ca="1" si="69">IF(B329="","",ROUND(B329/12*9,0))</f>
        <v>0</v>
      </c>
      <c r="C355" s="300"/>
      <c r="D355" s="299">
        <f t="shared" ref="D355:D377" ca="1" si="70">IF(D329="","",ROUND(D329/12*9,0))</f>
        <v>0</v>
      </c>
      <c r="E355" s="300"/>
      <c r="F355" s="299">
        <f t="shared" ref="F355:F377" ca="1" si="71">IF(F329="","",ROUND(F329/12*9,0))</f>
        <v>0</v>
      </c>
      <c r="G355" s="300"/>
      <c r="H355" s="299">
        <f t="shared" ref="H355:H377" ca="1" si="72">IF(H329="","",ROUND(H329/12*9,0))</f>
        <v>0</v>
      </c>
      <c r="I355" s="300"/>
      <c r="J355" s="299">
        <f t="shared" ref="J355:J377" ca="1" si="73">IF(J329="","",ROUND(J329/12*9,0))</f>
        <v>0</v>
      </c>
      <c r="K355" s="300"/>
    </row>
    <row r="356" spans="1:11" x14ac:dyDescent="0.2">
      <c r="A356" s="82"/>
      <c r="B356" s="299">
        <f t="shared" ca="1" si="69"/>
        <v>0</v>
      </c>
      <c r="C356" s="300"/>
      <c r="D356" s="299">
        <f t="shared" ca="1" si="70"/>
        <v>0</v>
      </c>
      <c r="E356" s="300"/>
      <c r="F356" s="299">
        <f t="shared" ca="1" si="71"/>
        <v>0</v>
      </c>
      <c r="G356" s="300"/>
      <c r="H356" s="299">
        <f t="shared" ca="1" si="72"/>
        <v>0</v>
      </c>
      <c r="I356" s="300"/>
      <c r="J356" s="299">
        <f t="shared" ca="1" si="73"/>
        <v>0</v>
      </c>
      <c r="K356" s="300"/>
    </row>
    <row r="357" spans="1:11" x14ac:dyDescent="0.2">
      <c r="A357" s="82"/>
      <c r="B357" s="299">
        <f t="shared" ca="1" si="69"/>
        <v>0</v>
      </c>
      <c r="C357" s="300"/>
      <c r="D357" s="299">
        <f t="shared" ca="1" si="70"/>
        <v>0</v>
      </c>
      <c r="E357" s="300"/>
      <c r="F357" s="299">
        <f t="shared" ca="1" si="71"/>
        <v>0</v>
      </c>
      <c r="G357" s="300"/>
      <c r="H357" s="299">
        <f t="shared" ca="1" si="72"/>
        <v>0</v>
      </c>
      <c r="I357" s="300"/>
      <c r="J357" s="299">
        <f t="shared" ca="1" si="73"/>
        <v>0</v>
      </c>
      <c r="K357" s="300"/>
    </row>
    <row r="358" spans="1:11" x14ac:dyDescent="0.2">
      <c r="A358" s="82"/>
      <c r="B358" s="299">
        <f t="shared" ca="1" si="69"/>
        <v>0</v>
      </c>
      <c r="C358" s="300"/>
      <c r="D358" s="299">
        <f t="shared" ca="1" si="70"/>
        <v>0</v>
      </c>
      <c r="E358" s="300"/>
      <c r="F358" s="299">
        <f t="shared" ca="1" si="71"/>
        <v>0</v>
      </c>
      <c r="G358" s="300"/>
      <c r="H358" s="299">
        <f t="shared" ca="1" si="72"/>
        <v>0</v>
      </c>
      <c r="I358" s="300"/>
      <c r="J358" s="299">
        <f t="shared" ca="1" si="73"/>
        <v>0</v>
      </c>
      <c r="K358" s="300"/>
    </row>
    <row r="359" spans="1:11" x14ac:dyDescent="0.2">
      <c r="A359" s="82"/>
      <c r="B359" s="299">
        <f t="shared" ca="1" si="69"/>
        <v>0</v>
      </c>
      <c r="C359" s="300"/>
      <c r="D359" s="299">
        <f t="shared" ca="1" si="70"/>
        <v>0</v>
      </c>
      <c r="E359" s="300"/>
      <c r="F359" s="299">
        <f t="shared" ca="1" si="71"/>
        <v>0</v>
      </c>
      <c r="G359" s="300"/>
      <c r="H359" s="299">
        <f t="shared" ca="1" si="72"/>
        <v>0</v>
      </c>
      <c r="I359" s="300"/>
      <c r="J359" s="299">
        <f t="shared" ca="1" si="73"/>
        <v>0</v>
      </c>
      <c r="K359" s="300"/>
    </row>
    <row r="360" spans="1:11" x14ac:dyDescent="0.2">
      <c r="A360" s="82"/>
      <c r="B360" s="299">
        <f t="shared" ca="1" si="69"/>
        <v>0</v>
      </c>
      <c r="C360" s="300"/>
      <c r="D360" s="299">
        <f t="shared" ca="1" si="70"/>
        <v>0</v>
      </c>
      <c r="E360" s="300"/>
      <c r="F360" s="299">
        <f t="shared" ca="1" si="71"/>
        <v>0</v>
      </c>
      <c r="G360" s="300"/>
      <c r="H360" s="299">
        <f t="shared" ca="1" si="72"/>
        <v>0</v>
      </c>
      <c r="I360" s="300"/>
      <c r="J360" s="299">
        <f t="shared" ca="1" si="73"/>
        <v>0</v>
      </c>
      <c r="K360" s="300"/>
    </row>
    <row r="361" spans="1:11" x14ac:dyDescent="0.2">
      <c r="A361" s="82"/>
      <c r="B361" s="299">
        <f t="shared" ca="1" si="69"/>
        <v>0</v>
      </c>
      <c r="C361" s="300"/>
      <c r="D361" s="299">
        <f t="shared" ca="1" si="70"/>
        <v>0</v>
      </c>
      <c r="E361" s="300"/>
      <c r="F361" s="299">
        <f t="shared" ca="1" si="71"/>
        <v>0</v>
      </c>
      <c r="G361" s="300"/>
      <c r="H361" s="299">
        <f t="shared" ca="1" si="72"/>
        <v>0</v>
      </c>
      <c r="I361" s="300"/>
      <c r="J361" s="299">
        <f t="shared" ca="1" si="73"/>
        <v>0</v>
      </c>
      <c r="K361" s="300"/>
    </row>
    <row r="362" spans="1:11" x14ac:dyDescent="0.2">
      <c r="A362" s="82"/>
      <c r="B362" s="299">
        <f t="shared" ca="1" si="69"/>
        <v>0</v>
      </c>
      <c r="C362" s="300"/>
      <c r="D362" s="299">
        <f t="shared" ca="1" si="70"/>
        <v>0</v>
      </c>
      <c r="E362" s="300"/>
      <c r="F362" s="299">
        <f t="shared" ca="1" si="71"/>
        <v>0</v>
      </c>
      <c r="G362" s="300"/>
      <c r="H362" s="299">
        <f t="shared" ca="1" si="72"/>
        <v>0</v>
      </c>
      <c r="I362" s="300"/>
      <c r="J362" s="299">
        <f t="shared" ca="1" si="73"/>
        <v>0</v>
      </c>
      <c r="K362" s="300"/>
    </row>
    <row r="363" spans="1:11" x14ac:dyDescent="0.2">
      <c r="A363" s="82"/>
      <c r="B363" s="299">
        <f t="shared" ca="1" si="69"/>
        <v>0</v>
      </c>
      <c r="C363" s="300"/>
      <c r="D363" s="299">
        <f t="shared" ca="1" si="70"/>
        <v>0</v>
      </c>
      <c r="E363" s="300"/>
      <c r="F363" s="299">
        <f t="shared" ca="1" si="71"/>
        <v>0</v>
      </c>
      <c r="G363" s="300"/>
      <c r="H363" s="299">
        <f t="shared" ca="1" si="72"/>
        <v>0</v>
      </c>
      <c r="I363" s="300"/>
      <c r="J363" s="299">
        <f t="shared" ca="1" si="73"/>
        <v>0</v>
      </c>
      <c r="K363" s="300"/>
    </row>
    <row r="364" spans="1:11" x14ac:dyDescent="0.2">
      <c r="A364" s="82"/>
      <c r="B364" s="299">
        <f t="shared" ca="1" si="69"/>
        <v>0</v>
      </c>
      <c r="C364" s="300"/>
      <c r="D364" s="299">
        <f t="shared" ca="1" si="70"/>
        <v>0</v>
      </c>
      <c r="E364" s="300"/>
      <c r="F364" s="299">
        <f t="shared" ca="1" si="71"/>
        <v>0</v>
      </c>
      <c r="G364" s="300"/>
      <c r="H364" s="299">
        <f t="shared" ca="1" si="72"/>
        <v>0</v>
      </c>
      <c r="I364" s="300"/>
      <c r="J364" s="299">
        <f t="shared" ca="1" si="73"/>
        <v>0</v>
      </c>
      <c r="K364" s="300"/>
    </row>
    <row r="365" spans="1:11" x14ac:dyDescent="0.2">
      <c r="A365" s="82"/>
      <c r="B365" s="299">
        <f t="shared" ca="1" si="69"/>
        <v>0</v>
      </c>
      <c r="C365" s="300"/>
      <c r="D365" s="299">
        <f t="shared" ca="1" si="70"/>
        <v>0</v>
      </c>
      <c r="E365" s="300"/>
      <c r="F365" s="299">
        <f t="shared" ca="1" si="71"/>
        <v>0</v>
      </c>
      <c r="G365" s="300"/>
      <c r="H365" s="299">
        <f t="shared" ca="1" si="72"/>
        <v>0</v>
      </c>
      <c r="I365" s="300"/>
      <c r="J365" s="299">
        <f t="shared" ca="1" si="73"/>
        <v>0</v>
      </c>
      <c r="K365" s="300"/>
    </row>
    <row r="366" spans="1:11" x14ac:dyDescent="0.2">
      <c r="A366" s="82"/>
      <c r="B366" s="299">
        <f t="shared" ca="1" si="69"/>
        <v>0</v>
      </c>
      <c r="C366" s="300"/>
      <c r="D366" s="299">
        <f t="shared" ca="1" si="70"/>
        <v>0</v>
      </c>
      <c r="E366" s="300"/>
      <c r="F366" s="299">
        <f t="shared" ca="1" si="71"/>
        <v>0</v>
      </c>
      <c r="G366" s="300"/>
      <c r="H366" s="299">
        <f t="shared" ca="1" si="72"/>
        <v>0</v>
      </c>
      <c r="I366" s="300"/>
      <c r="J366" s="299">
        <f t="shared" ca="1" si="73"/>
        <v>0</v>
      </c>
      <c r="K366" s="300"/>
    </row>
    <row r="367" spans="1:11" x14ac:dyDescent="0.2">
      <c r="A367" s="82"/>
      <c r="B367" s="299">
        <f t="shared" ca="1" si="69"/>
        <v>0</v>
      </c>
      <c r="C367" s="300"/>
      <c r="D367" s="299">
        <f t="shared" ca="1" si="70"/>
        <v>0</v>
      </c>
      <c r="E367" s="300"/>
      <c r="F367" s="299">
        <f t="shared" ca="1" si="71"/>
        <v>0</v>
      </c>
      <c r="G367" s="300"/>
      <c r="H367" s="299">
        <f t="shared" ca="1" si="72"/>
        <v>0</v>
      </c>
      <c r="I367" s="300"/>
      <c r="J367" s="299">
        <f t="shared" ca="1" si="73"/>
        <v>0</v>
      </c>
      <c r="K367" s="300"/>
    </row>
    <row r="368" spans="1:11" x14ac:dyDescent="0.2">
      <c r="A368" s="82"/>
      <c r="B368" s="299">
        <f t="shared" ca="1" si="69"/>
        <v>0</v>
      </c>
      <c r="C368" s="300"/>
      <c r="D368" s="299">
        <f t="shared" ca="1" si="70"/>
        <v>0</v>
      </c>
      <c r="E368" s="300"/>
      <c r="F368" s="299">
        <f t="shared" ca="1" si="71"/>
        <v>0</v>
      </c>
      <c r="G368" s="300"/>
      <c r="H368" s="299">
        <f t="shared" ca="1" si="72"/>
        <v>0</v>
      </c>
      <c r="I368" s="300"/>
      <c r="J368" s="299">
        <f t="shared" ca="1" si="73"/>
        <v>0</v>
      </c>
      <c r="K368" s="300"/>
    </row>
    <row r="369" spans="1:11" x14ac:dyDescent="0.2">
      <c r="A369" s="82"/>
      <c r="B369" s="299">
        <f t="shared" ca="1" si="69"/>
        <v>0</v>
      </c>
      <c r="C369" s="300"/>
      <c r="D369" s="299">
        <f t="shared" ca="1" si="70"/>
        <v>0</v>
      </c>
      <c r="E369" s="300"/>
      <c r="F369" s="299">
        <f t="shared" ca="1" si="71"/>
        <v>0</v>
      </c>
      <c r="G369" s="300"/>
      <c r="H369" s="299">
        <f t="shared" ca="1" si="72"/>
        <v>0</v>
      </c>
      <c r="I369" s="300"/>
      <c r="J369" s="299">
        <f t="shared" ca="1" si="73"/>
        <v>0</v>
      </c>
      <c r="K369" s="300"/>
    </row>
    <row r="370" spans="1:11" x14ac:dyDescent="0.2">
      <c r="A370" s="82"/>
      <c r="B370" s="299">
        <f t="shared" ca="1" si="69"/>
        <v>0</v>
      </c>
      <c r="C370" s="300"/>
      <c r="D370" s="299">
        <f t="shared" ca="1" si="70"/>
        <v>0</v>
      </c>
      <c r="E370" s="300"/>
      <c r="F370" s="299">
        <f t="shared" ca="1" si="71"/>
        <v>0</v>
      </c>
      <c r="G370" s="300"/>
      <c r="H370" s="299">
        <f t="shared" ca="1" si="72"/>
        <v>0</v>
      </c>
      <c r="I370" s="300"/>
      <c r="J370" s="299">
        <f t="shared" ca="1" si="73"/>
        <v>0</v>
      </c>
      <c r="K370" s="300"/>
    </row>
    <row r="371" spans="1:11" x14ac:dyDescent="0.2">
      <c r="A371" s="82"/>
      <c r="B371" s="299">
        <f t="shared" ca="1" si="69"/>
        <v>0</v>
      </c>
      <c r="C371" s="300"/>
      <c r="D371" s="299">
        <f t="shared" ca="1" si="70"/>
        <v>0</v>
      </c>
      <c r="E371" s="300"/>
      <c r="F371" s="299">
        <f t="shared" ca="1" si="71"/>
        <v>0</v>
      </c>
      <c r="G371" s="300"/>
      <c r="H371" s="299">
        <f t="shared" ca="1" si="72"/>
        <v>0</v>
      </c>
      <c r="I371" s="300"/>
      <c r="J371" s="299">
        <f t="shared" ca="1" si="73"/>
        <v>0</v>
      </c>
      <c r="K371" s="300"/>
    </row>
    <row r="372" spans="1:11" x14ac:dyDescent="0.2">
      <c r="A372" s="82"/>
      <c r="B372" s="299">
        <f t="shared" ca="1" si="69"/>
        <v>0</v>
      </c>
      <c r="C372" s="300"/>
      <c r="D372" s="299">
        <f t="shared" ca="1" si="70"/>
        <v>0</v>
      </c>
      <c r="E372" s="300"/>
      <c r="F372" s="299">
        <f t="shared" ca="1" si="71"/>
        <v>0</v>
      </c>
      <c r="G372" s="300"/>
      <c r="H372" s="299">
        <f t="shared" ca="1" si="72"/>
        <v>0</v>
      </c>
      <c r="I372" s="300"/>
      <c r="J372" s="299">
        <f t="shared" ca="1" si="73"/>
        <v>0</v>
      </c>
      <c r="K372" s="300"/>
    </row>
    <row r="373" spans="1:11" x14ac:dyDescent="0.2">
      <c r="A373" s="82"/>
      <c r="B373" s="299">
        <f t="shared" ca="1" si="69"/>
        <v>0</v>
      </c>
      <c r="C373" s="300"/>
      <c r="D373" s="299">
        <f t="shared" ca="1" si="70"/>
        <v>0</v>
      </c>
      <c r="E373" s="300"/>
      <c r="F373" s="299">
        <f t="shared" ca="1" si="71"/>
        <v>0</v>
      </c>
      <c r="G373" s="300"/>
      <c r="H373" s="299">
        <f t="shared" ca="1" si="72"/>
        <v>0</v>
      </c>
      <c r="I373" s="300"/>
      <c r="J373" s="299">
        <f t="shared" ca="1" si="73"/>
        <v>0</v>
      </c>
      <c r="K373" s="300"/>
    </row>
    <row r="374" spans="1:11" x14ac:dyDescent="0.2">
      <c r="A374" s="82"/>
      <c r="B374" s="299">
        <f t="shared" ca="1" si="69"/>
        <v>0</v>
      </c>
      <c r="C374" s="300"/>
      <c r="D374" s="299">
        <f t="shared" ca="1" si="70"/>
        <v>0</v>
      </c>
      <c r="E374" s="300"/>
      <c r="F374" s="299">
        <f t="shared" ca="1" si="71"/>
        <v>0</v>
      </c>
      <c r="G374" s="300"/>
      <c r="H374" s="299">
        <f t="shared" ca="1" si="72"/>
        <v>0</v>
      </c>
      <c r="I374" s="300"/>
      <c r="J374" s="299">
        <f t="shared" ca="1" si="73"/>
        <v>0</v>
      </c>
      <c r="K374" s="300"/>
    </row>
    <row r="375" spans="1:11" x14ac:dyDescent="0.2">
      <c r="A375" s="82"/>
      <c r="B375" s="299">
        <f t="shared" ca="1" si="69"/>
        <v>0</v>
      </c>
      <c r="C375" s="300"/>
      <c r="D375" s="299">
        <f t="shared" ca="1" si="70"/>
        <v>0</v>
      </c>
      <c r="E375" s="300"/>
      <c r="F375" s="299">
        <f t="shared" ca="1" si="71"/>
        <v>0</v>
      </c>
      <c r="G375" s="300"/>
      <c r="H375" s="299">
        <f t="shared" ca="1" si="72"/>
        <v>0</v>
      </c>
      <c r="I375" s="300"/>
      <c r="J375" s="299">
        <f t="shared" ca="1" si="73"/>
        <v>0</v>
      </c>
      <c r="K375" s="300"/>
    </row>
    <row r="376" spans="1:11" x14ac:dyDescent="0.2">
      <c r="A376" s="82"/>
      <c r="B376" s="299">
        <f t="shared" ca="1" si="69"/>
        <v>0</v>
      </c>
      <c r="C376" s="300"/>
      <c r="D376" s="299">
        <f t="shared" ca="1" si="70"/>
        <v>0</v>
      </c>
      <c r="E376" s="300"/>
      <c r="F376" s="299">
        <f t="shared" ca="1" si="71"/>
        <v>0</v>
      </c>
      <c r="G376" s="300"/>
      <c r="H376" s="299">
        <f t="shared" ca="1" si="72"/>
        <v>0</v>
      </c>
      <c r="I376" s="300"/>
      <c r="J376" s="299">
        <f t="shared" ca="1" si="73"/>
        <v>0</v>
      </c>
      <c r="K376" s="300"/>
    </row>
    <row r="377" spans="1:11" x14ac:dyDescent="0.2">
      <c r="A377" s="82"/>
      <c r="B377" s="299">
        <f t="shared" ca="1" si="69"/>
        <v>0</v>
      </c>
      <c r="C377" s="300"/>
      <c r="D377" s="299">
        <f t="shared" ca="1" si="70"/>
        <v>0</v>
      </c>
      <c r="E377" s="300"/>
      <c r="F377" s="299">
        <f t="shared" ca="1" si="71"/>
        <v>0</v>
      </c>
      <c r="G377" s="300"/>
      <c r="H377" s="299">
        <f t="shared" ca="1" si="72"/>
        <v>0</v>
      </c>
      <c r="I377" s="300"/>
      <c r="J377" s="299">
        <f t="shared" ca="1" si="73"/>
        <v>0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>
        <f ca="1">IF(B328="","",B328/12*11)</f>
        <v>0</v>
      </c>
      <c r="C380" s="300"/>
      <c r="D380" s="299">
        <f ca="1">IF(D328="","",D328/12*11)</f>
        <v>0</v>
      </c>
      <c r="E380" s="300"/>
      <c r="F380" s="299">
        <f ca="1">IF(F328="","",F328/12*11)</f>
        <v>0</v>
      </c>
      <c r="G380" s="300"/>
      <c r="H380" s="299">
        <f ca="1">IF(H328="","",H328/12*11)</f>
        <v>0</v>
      </c>
      <c r="I380" s="300"/>
      <c r="J380" s="299">
        <f ca="1">IF(J328="","",J328/12*11)</f>
        <v>0</v>
      </c>
      <c r="K380" s="300"/>
    </row>
    <row r="381" spans="1:11" x14ac:dyDescent="0.2">
      <c r="A381" s="82"/>
      <c r="B381" s="299">
        <f t="shared" ref="B381:B403" ca="1" si="74">IF(B329="","",B329/12*11)</f>
        <v>0</v>
      </c>
      <c r="C381" s="300"/>
      <c r="D381" s="299">
        <f t="shared" ref="D381:D403" ca="1" si="75">IF(D329="","",D329/12*11)</f>
        <v>0</v>
      </c>
      <c r="E381" s="300"/>
      <c r="F381" s="299">
        <f t="shared" ref="F381:F403" ca="1" si="76">IF(F329="","",F329/12*11)</f>
        <v>0</v>
      </c>
      <c r="G381" s="300"/>
      <c r="H381" s="299">
        <f t="shared" ref="H381:H403" ca="1" si="77">IF(H329="","",H329/12*11)</f>
        <v>0</v>
      </c>
      <c r="I381" s="300"/>
      <c r="J381" s="299">
        <f t="shared" ref="J381:J403" ca="1" si="78">IF(J329="","",J329/12*11)</f>
        <v>0</v>
      </c>
      <c r="K381" s="300"/>
    </row>
    <row r="382" spans="1:11" x14ac:dyDescent="0.2">
      <c r="A382" s="82"/>
      <c r="B382" s="299">
        <f t="shared" ca="1" si="74"/>
        <v>0</v>
      </c>
      <c r="C382" s="300"/>
      <c r="D382" s="299">
        <f t="shared" ca="1" si="75"/>
        <v>0</v>
      </c>
      <c r="E382" s="300"/>
      <c r="F382" s="299">
        <f t="shared" ca="1" si="76"/>
        <v>0</v>
      </c>
      <c r="G382" s="300"/>
      <c r="H382" s="299">
        <f t="shared" ca="1" si="77"/>
        <v>0</v>
      </c>
      <c r="I382" s="300"/>
      <c r="J382" s="299">
        <f t="shared" ca="1" si="78"/>
        <v>0</v>
      </c>
      <c r="K382" s="300"/>
    </row>
    <row r="383" spans="1:11" x14ac:dyDescent="0.2">
      <c r="A383" s="82"/>
      <c r="B383" s="299">
        <f t="shared" ca="1" si="74"/>
        <v>0</v>
      </c>
      <c r="C383" s="300"/>
      <c r="D383" s="299">
        <f t="shared" ca="1" si="75"/>
        <v>0</v>
      </c>
      <c r="E383" s="300"/>
      <c r="F383" s="299">
        <f t="shared" ca="1" si="76"/>
        <v>0</v>
      </c>
      <c r="G383" s="300"/>
      <c r="H383" s="299">
        <f t="shared" ca="1" si="77"/>
        <v>0</v>
      </c>
      <c r="I383" s="300"/>
      <c r="J383" s="299">
        <f t="shared" ca="1" si="78"/>
        <v>0</v>
      </c>
      <c r="K383" s="300"/>
    </row>
    <row r="384" spans="1:11" x14ac:dyDescent="0.2">
      <c r="A384" s="82"/>
      <c r="B384" s="299">
        <f t="shared" ca="1" si="74"/>
        <v>0</v>
      </c>
      <c r="C384" s="300"/>
      <c r="D384" s="299">
        <f t="shared" ca="1" si="75"/>
        <v>0</v>
      </c>
      <c r="E384" s="300"/>
      <c r="F384" s="299">
        <f t="shared" ca="1" si="76"/>
        <v>0</v>
      </c>
      <c r="G384" s="300"/>
      <c r="H384" s="299">
        <f t="shared" ca="1" si="77"/>
        <v>0</v>
      </c>
      <c r="I384" s="300"/>
      <c r="J384" s="299">
        <f t="shared" ca="1" si="78"/>
        <v>0</v>
      </c>
      <c r="K384" s="300"/>
    </row>
    <row r="385" spans="1:11" x14ac:dyDescent="0.2">
      <c r="A385" s="82"/>
      <c r="B385" s="299">
        <f t="shared" ca="1" si="74"/>
        <v>0</v>
      </c>
      <c r="C385" s="300"/>
      <c r="D385" s="299">
        <f t="shared" ca="1" si="75"/>
        <v>0</v>
      </c>
      <c r="E385" s="300"/>
      <c r="F385" s="299">
        <f t="shared" ca="1" si="76"/>
        <v>0</v>
      </c>
      <c r="G385" s="300"/>
      <c r="H385" s="299">
        <f t="shared" ca="1" si="77"/>
        <v>0</v>
      </c>
      <c r="I385" s="300"/>
      <c r="J385" s="299">
        <f t="shared" ca="1" si="78"/>
        <v>0</v>
      </c>
      <c r="K385" s="300"/>
    </row>
    <row r="386" spans="1:11" x14ac:dyDescent="0.2">
      <c r="A386" s="82"/>
      <c r="B386" s="299">
        <f t="shared" ca="1" si="74"/>
        <v>0</v>
      </c>
      <c r="C386" s="300"/>
      <c r="D386" s="299">
        <f t="shared" ca="1" si="75"/>
        <v>0</v>
      </c>
      <c r="E386" s="300"/>
      <c r="F386" s="299">
        <f t="shared" ca="1" si="76"/>
        <v>0</v>
      </c>
      <c r="G386" s="300"/>
      <c r="H386" s="299">
        <f t="shared" ca="1" si="77"/>
        <v>0</v>
      </c>
      <c r="I386" s="300"/>
      <c r="J386" s="299">
        <f t="shared" ca="1" si="78"/>
        <v>0</v>
      </c>
      <c r="K386" s="300"/>
    </row>
    <row r="387" spans="1:11" x14ac:dyDescent="0.2">
      <c r="A387" s="82"/>
      <c r="B387" s="299">
        <f t="shared" ca="1" si="74"/>
        <v>0</v>
      </c>
      <c r="C387" s="300"/>
      <c r="D387" s="299">
        <f t="shared" ca="1" si="75"/>
        <v>0</v>
      </c>
      <c r="E387" s="300"/>
      <c r="F387" s="299">
        <f t="shared" ca="1" si="76"/>
        <v>0</v>
      </c>
      <c r="G387" s="300"/>
      <c r="H387" s="299">
        <f t="shared" ca="1" si="77"/>
        <v>0</v>
      </c>
      <c r="I387" s="300"/>
      <c r="J387" s="299">
        <f t="shared" ca="1" si="78"/>
        <v>0</v>
      </c>
      <c r="K387" s="300"/>
    </row>
    <row r="388" spans="1:11" x14ac:dyDescent="0.2">
      <c r="A388" s="82"/>
      <c r="B388" s="299">
        <f t="shared" ca="1" si="74"/>
        <v>0</v>
      </c>
      <c r="C388" s="300"/>
      <c r="D388" s="299">
        <f t="shared" ca="1" si="75"/>
        <v>0</v>
      </c>
      <c r="E388" s="300"/>
      <c r="F388" s="299">
        <f t="shared" ca="1" si="76"/>
        <v>0</v>
      </c>
      <c r="G388" s="300"/>
      <c r="H388" s="299">
        <f t="shared" ca="1" si="77"/>
        <v>0</v>
      </c>
      <c r="I388" s="300"/>
      <c r="J388" s="299">
        <f t="shared" ca="1" si="78"/>
        <v>0</v>
      </c>
      <c r="K388" s="300"/>
    </row>
    <row r="389" spans="1:11" x14ac:dyDescent="0.2">
      <c r="A389" s="82"/>
      <c r="B389" s="299">
        <f t="shared" ca="1" si="74"/>
        <v>0</v>
      </c>
      <c r="C389" s="300"/>
      <c r="D389" s="299">
        <f t="shared" ca="1" si="75"/>
        <v>0</v>
      </c>
      <c r="E389" s="300"/>
      <c r="F389" s="299">
        <f t="shared" ca="1" si="76"/>
        <v>0</v>
      </c>
      <c r="G389" s="300"/>
      <c r="H389" s="299">
        <f t="shared" ca="1" si="77"/>
        <v>0</v>
      </c>
      <c r="I389" s="300"/>
      <c r="J389" s="299">
        <f t="shared" ca="1" si="78"/>
        <v>0</v>
      </c>
      <c r="K389" s="300"/>
    </row>
    <row r="390" spans="1:11" x14ac:dyDescent="0.2">
      <c r="A390" s="82"/>
      <c r="B390" s="299">
        <f t="shared" ca="1" si="74"/>
        <v>0</v>
      </c>
      <c r="C390" s="300"/>
      <c r="D390" s="299">
        <f t="shared" ca="1" si="75"/>
        <v>0</v>
      </c>
      <c r="E390" s="300"/>
      <c r="F390" s="299">
        <f t="shared" ca="1" si="76"/>
        <v>0</v>
      </c>
      <c r="G390" s="300"/>
      <c r="H390" s="299">
        <f t="shared" ca="1" si="77"/>
        <v>0</v>
      </c>
      <c r="I390" s="300"/>
      <c r="J390" s="299">
        <f t="shared" ca="1" si="78"/>
        <v>0</v>
      </c>
      <c r="K390" s="300"/>
    </row>
    <row r="391" spans="1:11" x14ac:dyDescent="0.2">
      <c r="A391" s="82"/>
      <c r="B391" s="299">
        <f t="shared" ca="1" si="74"/>
        <v>0</v>
      </c>
      <c r="C391" s="300"/>
      <c r="D391" s="299">
        <f t="shared" ca="1" si="75"/>
        <v>0</v>
      </c>
      <c r="E391" s="300"/>
      <c r="F391" s="299">
        <f t="shared" ca="1" si="76"/>
        <v>0</v>
      </c>
      <c r="G391" s="300"/>
      <c r="H391" s="299">
        <f t="shared" ca="1" si="77"/>
        <v>0</v>
      </c>
      <c r="I391" s="300"/>
      <c r="J391" s="299">
        <f t="shared" ca="1" si="78"/>
        <v>0</v>
      </c>
      <c r="K391" s="300"/>
    </row>
    <row r="392" spans="1:11" x14ac:dyDescent="0.2">
      <c r="A392" s="82"/>
      <c r="B392" s="299">
        <f t="shared" ca="1" si="74"/>
        <v>0</v>
      </c>
      <c r="C392" s="300"/>
      <c r="D392" s="299">
        <f t="shared" ca="1" si="75"/>
        <v>0</v>
      </c>
      <c r="E392" s="300"/>
      <c r="F392" s="299">
        <f t="shared" ca="1" si="76"/>
        <v>0</v>
      </c>
      <c r="G392" s="300"/>
      <c r="H392" s="299">
        <f t="shared" ca="1" si="77"/>
        <v>0</v>
      </c>
      <c r="I392" s="300"/>
      <c r="J392" s="299">
        <f t="shared" ca="1" si="78"/>
        <v>0</v>
      </c>
      <c r="K392" s="300"/>
    </row>
    <row r="393" spans="1:11" x14ac:dyDescent="0.2">
      <c r="A393" s="82"/>
      <c r="B393" s="299">
        <f t="shared" ca="1" si="74"/>
        <v>0</v>
      </c>
      <c r="C393" s="300"/>
      <c r="D393" s="299">
        <f t="shared" ca="1" si="75"/>
        <v>0</v>
      </c>
      <c r="E393" s="300"/>
      <c r="F393" s="299">
        <f t="shared" ca="1" si="76"/>
        <v>0</v>
      </c>
      <c r="G393" s="300"/>
      <c r="H393" s="299">
        <f t="shared" ca="1" si="77"/>
        <v>0</v>
      </c>
      <c r="I393" s="300"/>
      <c r="J393" s="299">
        <f t="shared" ca="1" si="78"/>
        <v>0</v>
      </c>
      <c r="K393" s="300"/>
    </row>
    <row r="394" spans="1:11" x14ac:dyDescent="0.2">
      <c r="A394" s="82"/>
      <c r="B394" s="299">
        <f t="shared" ca="1" si="74"/>
        <v>0</v>
      </c>
      <c r="C394" s="300"/>
      <c r="D394" s="299">
        <f t="shared" ca="1" si="75"/>
        <v>0</v>
      </c>
      <c r="E394" s="300"/>
      <c r="F394" s="299">
        <f t="shared" ca="1" si="76"/>
        <v>0</v>
      </c>
      <c r="G394" s="300"/>
      <c r="H394" s="299">
        <f t="shared" ca="1" si="77"/>
        <v>0</v>
      </c>
      <c r="I394" s="300"/>
      <c r="J394" s="299">
        <f t="shared" ca="1" si="78"/>
        <v>0</v>
      </c>
      <c r="K394" s="300"/>
    </row>
    <row r="395" spans="1:11" x14ac:dyDescent="0.2">
      <c r="A395" s="82"/>
      <c r="B395" s="299">
        <f t="shared" ca="1" si="74"/>
        <v>0</v>
      </c>
      <c r="C395" s="300"/>
      <c r="D395" s="299">
        <f t="shared" ca="1" si="75"/>
        <v>0</v>
      </c>
      <c r="E395" s="300"/>
      <c r="F395" s="299">
        <f t="shared" ca="1" si="76"/>
        <v>0</v>
      </c>
      <c r="G395" s="300"/>
      <c r="H395" s="299">
        <f t="shared" ca="1" si="77"/>
        <v>0</v>
      </c>
      <c r="I395" s="300"/>
      <c r="J395" s="299">
        <f t="shared" ca="1" si="78"/>
        <v>0</v>
      </c>
      <c r="K395" s="300"/>
    </row>
    <row r="396" spans="1:11" x14ac:dyDescent="0.2">
      <c r="A396" s="82"/>
      <c r="B396" s="299">
        <f t="shared" ca="1" si="74"/>
        <v>0</v>
      </c>
      <c r="C396" s="300"/>
      <c r="D396" s="299">
        <f t="shared" ca="1" si="75"/>
        <v>0</v>
      </c>
      <c r="E396" s="300"/>
      <c r="F396" s="299">
        <f t="shared" ca="1" si="76"/>
        <v>0</v>
      </c>
      <c r="G396" s="300"/>
      <c r="H396" s="299">
        <f t="shared" ca="1" si="77"/>
        <v>0</v>
      </c>
      <c r="I396" s="300"/>
      <c r="J396" s="299">
        <f t="shared" ca="1" si="78"/>
        <v>0</v>
      </c>
      <c r="K396" s="300"/>
    </row>
    <row r="397" spans="1:11" x14ac:dyDescent="0.2">
      <c r="A397" s="82"/>
      <c r="B397" s="299">
        <f t="shared" ca="1" si="74"/>
        <v>0</v>
      </c>
      <c r="C397" s="300"/>
      <c r="D397" s="299">
        <f t="shared" ca="1" si="75"/>
        <v>0</v>
      </c>
      <c r="E397" s="300"/>
      <c r="F397" s="299">
        <f t="shared" ca="1" si="76"/>
        <v>0</v>
      </c>
      <c r="G397" s="300"/>
      <c r="H397" s="299">
        <f t="shared" ca="1" si="77"/>
        <v>0</v>
      </c>
      <c r="I397" s="300"/>
      <c r="J397" s="299">
        <f t="shared" ca="1" si="78"/>
        <v>0</v>
      </c>
      <c r="K397" s="300"/>
    </row>
    <row r="398" spans="1:11" x14ac:dyDescent="0.2">
      <c r="A398" s="82"/>
      <c r="B398" s="299">
        <f t="shared" ca="1" si="74"/>
        <v>0</v>
      </c>
      <c r="C398" s="300"/>
      <c r="D398" s="299">
        <f t="shared" ca="1" si="75"/>
        <v>0</v>
      </c>
      <c r="E398" s="300"/>
      <c r="F398" s="299">
        <f t="shared" ca="1" si="76"/>
        <v>0</v>
      </c>
      <c r="G398" s="300"/>
      <c r="H398" s="299">
        <f t="shared" ca="1" si="77"/>
        <v>0</v>
      </c>
      <c r="I398" s="300"/>
      <c r="J398" s="299">
        <f t="shared" ca="1" si="78"/>
        <v>0</v>
      </c>
      <c r="K398" s="300"/>
    </row>
    <row r="399" spans="1:11" x14ac:dyDescent="0.2">
      <c r="A399" s="82"/>
      <c r="B399" s="299">
        <f t="shared" ca="1" si="74"/>
        <v>0</v>
      </c>
      <c r="C399" s="300"/>
      <c r="D399" s="299">
        <f t="shared" ca="1" si="75"/>
        <v>0</v>
      </c>
      <c r="E399" s="300"/>
      <c r="F399" s="299">
        <f t="shared" ca="1" si="76"/>
        <v>0</v>
      </c>
      <c r="G399" s="300"/>
      <c r="H399" s="299">
        <f t="shared" ca="1" si="77"/>
        <v>0</v>
      </c>
      <c r="I399" s="300"/>
      <c r="J399" s="299">
        <f t="shared" ca="1" si="78"/>
        <v>0</v>
      </c>
      <c r="K399" s="300"/>
    </row>
    <row r="400" spans="1:11" x14ac:dyDescent="0.2">
      <c r="A400" s="82"/>
      <c r="B400" s="299">
        <f t="shared" ca="1" si="74"/>
        <v>0</v>
      </c>
      <c r="C400" s="300"/>
      <c r="D400" s="299">
        <f t="shared" ca="1" si="75"/>
        <v>0</v>
      </c>
      <c r="E400" s="300"/>
      <c r="F400" s="299">
        <f t="shared" ca="1" si="76"/>
        <v>0</v>
      </c>
      <c r="G400" s="300"/>
      <c r="H400" s="299">
        <f t="shared" ca="1" si="77"/>
        <v>0</v>
      </c>
      <c r="I400" s="300"/>
      <c r="J400" s="299">
        <f t="shared" ca="1" si="78"/>
        <v>0</v>
      </c>
      <c r="K400" s="300"/>
    </row>
    <row r="401" spans="1:11" x14ac:dyDescent="0.2">
      <c r="A401" s="82"/>
      <c r="B401" s="299">
        <f t="shared" ca="1" si="74"/>
        <v>0</v>
      </c>
      <c r="C401" s="300"/>
      <c r="D401" s="299">
        <f t="shared" ca="1" si="75"/>
        <v>0</v>
      </c>
      <c r="E401" s="300"/>
      <c r="F401" s="299">
        <f t="shared" ca="1" si="76"/>
        <v>0</v>
      </c>
      <c r="G401" s="300"/>
      <c r="H401" s="299">
        <f t="shared" ca="1" si="77"/>
        <v>0</v>
      </c>
      <c r="I401" s="300"/>
      <c r="J401" s="299">
        <f t="shared" ca="1" si="78"/>
        <v>0</v>
      </c>
      <c r="K401" s="300"/>
    </row>
    <row r="402" spans="1:11" x14ac:dyDescent="0.2">
      <c r="A402" s="82"/>
      <c r="B402" s="299">
        <f t="shared" ca="1" si="74"/>
        <v>0</v>
      </c>
      <c r="C402" s="300"/>
      <c r="D402" s="299">
        <f t="shared" ca="1" si="75"/>
        <v>0</v>
      </c>
      <c r="E402" s="300"/>
      <c r="F402" s="299">
        <f t="shared" ca="1" si="76"/>
        <v>0</v>
      </c>
      <c r="G402" s="300"/>
      <c r="H402" s="299">
        <f t="shared" ca="1" si="77"/>
        <v>0</v>
      </c>
      <c r="I402" s="300"/>
      <c r="J402" s="299">
        <f t="shared" ca="1" si="78"/>
        <v>0</v>
      </c>
      <c r="K402" s="300"/>
    </row>
    <row r="403" spans="1:11" x14ac:dyDescent="0.2">
      <c r="A403" s="82"/>
      <c r="B403" s="299">
        <f t="shared" ca="1" si="74"/>
        <v>0</v>
      </c>
      <c r="C403" s="300"/>
      <c r="D403" s="299">
        <f t="shared" ca="1" si="75"/>
        <v>0</v>
      </c>
      <c r="E403" s="300"/>
      <c r="F403" s="299">
        <f t="shared" ca="1" si="76"/>
        <v>0</v>
      </c>
      <c r="G403" s="300"/>
      <c r="H403" s="299">
        <f t="shared" ca="1" si="77"/>
        <v>0</v>
      </c>
      <c r="I403" s="300"/>
      <c r="J403" s="299">
        <f t="shared" ca="1" si="78"/>
        <v>0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76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8D4D5E9-A8F5-4AF2-BE0C-77C316938A3A}">
            <xm:f>'R10'!$F$208&lt;&gt;$A$91</xm:f>
            <x14:dxf/>
          </x14:cfRule>
          <xm:sqref>M181:O181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P22" sqref="P22"/>
    </sheetView>
  </sheetViews>
  <sheetFormatPr defaultColWidth="8.85546875" defaultRowHeight="15" x14ac:dyDescent="0.25"/>
  <cols>
    <col min="1" max="1" width="2.42578125" style="272" customWidth="1"/>
    <col min="2" max="2" width="55.85546875" style="272" bestFit="1" customWidth="1"/>
    <col min="3" max="4" width="11.7109375" style="272" customWidth="1"/>
    <col min="5" max="7" width="11.7109375" style="272" hidden="1" customWidth="1"/>
    <col min="8" max="8" width="11.7109375" style="272" customWidth="1"/>
    <col min="9" max="16384" width="8.85546875" style="272"/>
  </cols>
  <sheetData>
    <row r="1" spans="2:8" x14ac:dyDescent="0.25">
      <c r="B1" s="273"/>
      <c r="C1" s="274"/>
      <c r="D1" s="274"/>
      <c r="E1" s="274"/>
      <c r="F1" s="274"/>
      <c r="G1" s="274"/>
      <c r="H1" s="275"/>
    </row>
    <row r="2" spans="2:8" x14ac:dyDescent="0.25">
      <c r="B2" s="281" t="s">
        <v>234</v>
      </c>
      <c r="C2" s="275"/>
      <c r="D2" s="275"/>
      <c r="E2" s="275"/>
      <c r="F2" s="275"/>
      <c r="G2" s="275"/>
      <c r="H2" s="275"/>
    </row>
    <row r="3" spans="2:8" x14ac:dyDescent="0.25">
      <c r="B3" s="272" t="s">
        <v>230</v>
      </c>
    </row>
    <row r="4" spans="2:8" x14ac:dyDescent="0.25">
      <c r="B4" s="272" t="s">
        <v>231</v>
      </c>
    </row>
    <row r="5" spans="2:8" x14ac:dyDescent="0.25">
      <c r="B5" s="272" t="s">
        <v>233</v>
      </c>
    </row>
    <row r="6" spans="2:8" x14ac:dyDescent="0.25">
      <c r="B6" s="272" t="s">
        <v>232</v>
      </c>
    </row>
    <row r="8" spans="2:8" x14ac:dyDescent="0.25">
      <c r="B8" s="281" t="s">
        <v>240</v>
      </c>
    </row>
    <row r="10" spans="2:8" x14ac:dyDescent="0.25">
      <c r="B10" s="280" t="s">
        <v>226</v>
      </c>
    </row>
    <row r="11" spans="2:8" x14ac:dyDescent="0.25">
      <c r="B11" s="272" t="s">
        <v>228</v>
      </c>
    </row>
    <row r="12" spans="2:8" x14ac:dyDescent="0.25">
      <c r="B12" s="272" t="s">
        <v>248</v>
      </c>
    </row>
    <row r="13" spans="2:8" x14ac:dyDescent="0.25">
      <c r="B13" s="272" t="s">
        <v>229</v>
      </c>
    </row>
    <row r="14" spans="2:8" x14ac:dyDescent="0.25">
      <c r="B14" s="272" t="s">
        <v>249</v>
      </c>
    </row>
    <row r="15" spans="2:8" x14ac:dyDescent="0.25">
      <c r="B15" s="272" t="s">
        <v>251</v>
      </c>
    </row>
    <row r="16" spans="2:8" x14ac:dyDescent="0.25">
      <c r="B16" s="272" t="s">
        <v>250</v>
      </c>
    </row>
    <row r="17" spans="2:2" x14ac:dyDescent="0.25">
      <c r="B17" s="272" t="s">
        <v>235</v>
      </c>
    </row>
    <row r="18" spans="2:2" x14ac:dyDescent="0.25">
      <c r="B18" s="272" t="s">
        <v>238</v>
      </c>
    </row>
    <row r="19" spans="2:2" x14ac:dyDescent="0.25">
      <c r="B19" s="272" t="s">
        <v>239</v>
      </c>
    </row>
    <row r="21" spans="2:2" x14ac:dyDescent="0.25">
      <c r="B21" s="281" t="s">
        <v>236</v>
      </c>
    </row>
    <row r="22" spans="2:2" x14ac:dyDescent="0.25">
      <c r="B22" s="272" t="s">
        <v>247</v>
      </c>
    </row>
    <row r="23" spans="2:2" x14ac:dyDescent="0.25">
      <c r="B23" s="272" t="s">
        <v>237</v>
      </c>
    </row>
    <row r="24" spans="2:2" x14ac:dyDescent="0.25">
      <c r="B24" s="272" t="s">
        <v>245</v>
      </c>
    </row>
    <row r="25" spans="2:2" x14ac:dyDescent="0.25">
      <c r="B25" s="272" t="s">
        <v>246</v>
      </c>
    </row>
    <row r="27" spans="2:2" x14ac:dyDescent="0.25">
      <c r="B27" s="272" t="s">
        <v>252</v>
      </c>
    </row>
  </sheetData>
  <sheetProtection formatCells="0" formatColumns="0" formatRows="0"/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Y387"/>
  <sheetViews>
    <sheetView tabSelected="1" zoomScaleNormal="100" workbookViewId="0">
      <selection activeCell="Y37" sqref="Y37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5.42578125" style="39" customWidth="1"/>
    <col min="7" max="7" width="5" style="39" customWidth="1"/>
    <col min="8" max="8" width="5.42578125" style="39" customWidth="1"/>
    <col min="9" max="9" width="5.7109375" style="39" customWidth="1"/>
    <col min="10" max="10" width="5.28515625" style="39" customWidth="1"/>
    <col min="11" max="11" width="4.85546875" style="39" bestFit="1" customWidth="1"/>
    <col min="12" max="12" width="5" style="39" customWidth="1"/>
    <col min="13" max="13" width="4.7109375" style="39" customWidth="1"/>
    <col min="14" max="14" width="9.85546875" style="39" customWidth="1"/>
    <col min="15" max="15" width="9.42578125" style="39" customWidth="1"/>
    <col min="16" max="17" width="10" style="39" hidden="1" customWidth="1"/>
    <col min="18" max="18" width="9.7109375" style="39" hidden="1" customWidth="1"/>
    <col min="19" max="19" width="10.42578125" style="39" customWidth="1"/>
    <col min="20" max="24" width="9.85546875" style="39" bestFit="1" customWidth="1"/>
    <col min="25" max="16384" width="8.85546875" style="39"/>
  </cols>
  <sheetData>
    <row r="1" spans="1:51" ht="13.15" customHeight="1" thickTop="1" thickBot="1" x14ac:dyDescent="0.25">
      <c r="A1" s="109"/>
      <c r="B1" s="107" t="s">
        <v>1</v>
      </c>
      <c r="C1" s="196">
        <v>43922</v>
      </c>
      <c r="D1" s="327" t="s">
        <v>227</v>
      </c>
      <c r="E1" s="228" t="s">
        <v>186</v>
      </c>
      <c r="F1" s="321"/>
      <c r="G1" s="322"/>
      <c r="H1" s="322"/>
      <c r="I1" s="322"/>
      <c r="J1" s="322"/>
      <c r="K1" s="322"/>
      <c r="L1" s="322"/>
      <c r="M1" s="322"/>
      <c r="N1" s="323"/>
      <c r="O1" s="358"/>
      <c r="P1" s="359"/>
      <c r="Q1" s="359"/>
      <c r="R1" s="391"/>
      <c r="S1" s="39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3.15" customHeight="1" thickTop="1" x14ac:dyDescent="0.2">
      <c r="A2" s="61"/>
      <c r="B2" s="108" t="s">
        <v>2</v>
      </c>
      <c r="C2" s="196">
        <v>44651</v>
      </c>
      <c r="D2" s="328"/>
      <c r="E2" s="229" t="s">
        <v>8</v>
      </c>
      <c r="F2" s="393"/>
      <c r="G2" s="394"/>
      <c r="H2" s="394"/>
      <c r="I2" s="394"/>
      <c r="J2" s="394"/>
      <c r="K2" s="394"/>
      <c r="L2" s="394"/>
      <c r="M2" s="395"/>
      <c r="N2" s="197" t="s">
        <v>221</v>
      </c>
      <c r="O2" s="198" t="str">
        <f>IF('W1'!D5=1,'W1'!D5&amp;" Month",'W1'!D5&amp;" Months")</f>
        <v>12 Months</v>
      </c>
      <c r="P2" s="198" t="str">
        <f>IF('W1'!E5=1,'W1'!E5&amp;" Month",'W1'!E5&amp;" Months")</f>
        <v>0 Months</v>
      </c>
      <c r="Q2" s="198" t="str">
        <f>IF('W1'!F5=1,'W1'!F5&amp;" Month",'W1'!F5&amp;" Months")</f>
        <v>0 Months</v>
      </c>
      <c r="R2" s="198" t="str">
        <f>IF('W1'!G5=1,'W1'!G5&amp;" Month",'W1'!G5&amp;" Months")</f>
        <v>0 Months</v>
      </c>
      <c r="S2" s="198" t="str">
        <f>IF('W1'!B5=1,'W1'!B5&amp;" Month",'W1'!B5&amp;" Months")</f>
        <v>24 Months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spans="1:51" ht="3" customHeight="1" thickBot="1" x14ac:dyDescent="0.25">
      <c r="C3" s="4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ht="14.45" customHeight="1" thickBot="1" x14ac:dyDescent="0.25">
      <c r="A4" s="396" t="s">
        <v>4</v>
      </c>
      <c r="B4" s="397"/>
      <c r="C4" s="397"/>
      <c r="D4" s="397"/>
      <c r="E4" s="397"/>
      <c r="F4" s="397"/>
      <c r="G4" s="397"/>
      <c r="H4" s="397"/>
      <c r="I4" s="397"/>
      <c r="J4" s="398"/>
      <c r="K4" s="329" t="s">
        <v>178</v>
      </c>
      <c r="L4" s="330"/>
      <c r="M4" s="333" t="s">
        <v>184</v>
      </c>
      <c r="N4" s="126" t="str">
        <f>IF('W1'!B5&gt;='W1'!C1,"",'W1'!B5&amp; " Months")</f>
        <v/>
      </c>
      <c r="O4" s="49"/>
      <c r="P4" s="380" t="s">
        <v>57</v>
      </c>
      <c r="Q4" s="380"/>
      <c r="R4" s="186" t="s">
        <v>218</v>
      </c>
      <c r="S4" s="215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pans="1:51" x14ac:dyDescent="0.2">
      <c r="A5" s="399"/>
      <c r="B5" s="400"/>
      <c r="C5" s="400"/>
      <c r="D5" s="400"/>
      <c r="E5" s="400"/>
      <c r="F5" s="400"/>
      <c r="G5" s="400"/>
      <c r="H5" s="400"/>
      <c r="I5" s="400"/>
      <c r="J5" s="401"/>
      <c r="K5" s="331"/>
      <c r="L5" s="332"/>
      <c r="M5" s="334"/>
      <c r="N5" s="50" t="s">
        <v>134</v>
      </c>
      <c r="O5" s="50" t="s">
        <v>135</v>
      </c>
      <c r="P5" s="50" t="s">
        <v>136</v>
      </c>
      <c r="Q5" s="50" t="s">
        <v>139</v>
      </c>
      <c r="R5" s="50" t="s">
        <v>137</v>
      </c>
      <c r="S5" s="115" t="s">
        <v>13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4.45" customHeight="1" x14ac:dyDescent="0.2">
      <c r="A6" s="337"/>
      <c r="B6" s="335" t="s">
        <v>138</v>
      </c>
      <c r="C6" s="335"/>
      <c r="D6" s="335"/>
      <c r="E6" s="339" t="s">
        <v>213</v>
      </c>
      <c r="F6" s="384" t="s">
        <v>168</v>
      </c>
      <c r="G6" s="385"/>
      <c r="H6" s="385"/>
      <c r="I6" s="385"/>
      <c r="J6" s="385"/>
      <c r="K6" s="353" t="s">
        <v>14</v>
      </c>
      <c r="L6" s="354" t="s">
        <v>64</v>
      </c>
      <c r="M6" s="355" t="s">
        <v>133</v>
      </c>
      <c r="N6" s="341" t="str">
        <f>TEXT('W1'!C2,"m/d/yy")&amp;"-"&amp;TEXT('W1'!C3,"m/d/yy")</f>
        <v>4/1/20-3/31/21</v>
      </c>
      <c r="O6" s="341" t="str">
        <f>TEXT('W1'!D2,"m/d/yy")&amp;"-"&amp;TEXT('W1'!D3,"m/d/yy")</f>
        <v>4/1/21-3/31/22</v>
      </c>
      <c r="P6" s="341" t="str">
        <f>TEXT('W1'!E2,"m/d/yy")&amp;"-"&amp;TEXT('W1'!E3,"m/d/yy")</f>
        <v>-</v>
      </c>
      <c r="Q6" s="341" t="str">
        <f>TEXT('W1'!F2,"m/d/yy")&amp;"-"&amp;TEXT('W1'!F3,"m/d/yy")</f>
        <v>-</v>
      </c>
      <c r="R6" s="341" t="str">
        <f>TEXT('W1'!G2,"m/d/yy")&amp;"-"&amp;TEXT('W1'!G3,"m/d/yy")</f>
        <v>-</v>
      </c>
      <c r="S6" s="341" t="str">
        <f>TEXT('W1'!B2,"m/d/yy")&amp;"-"&amp;TEXT('W1'!B3,"m/d/yy")</f>
        <v>4/1/20-3/31/22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</row>
    <row r="7" spans="1:51" x14ac:dyDescent="0.2">
      <c r="A7" s="338"/>
      <c r="B7" s="336"/>
      <c r="C7" s="336"/>
      <c r="D7" s="336"/>
      <c r="E7" s="340"/>
      <c r="F7" s="121" t="s">
        <v>169</v>
      </c>
      <c r="G7" s="121" t="s">
        <v>170</v>
      </c>
      <c r="H7" s="294" t="s">
        <v>171</v>
      </c>
      <c r="I7" s="294" t="s">
        <v>172</v>
      </c>
      <c r="J7" s="294" t="s">
        <v>173</v>
      </c>
      <c r="K7" s="353"/>
      <c r="L7" s="354"/>
      <c r="M7" s="355"/>
      <c r="N7" s="342"/>
      <c r="O7" s="342"/>
      <c r="P7" s="342"/>
      <c r="Q7" s="342"/>
      <c r="R7" s="342"/>
      <c r="S7" s="342"/>
      <c r="T7" s="246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1:51" x14ac:dyDescent="0.2">
      <c r="A8" s="192">
        <v>1</v>
      </c>
      <c r="B8" s="193"/>
      <c r="C8" s="193"/>
      <c r="D8" s="194"/>
      <c r="E8" s="195"/>
      <c r="F8" s="221"/>
      <c r="G8" s="221"/>
      <c r="H8" s="295"/>
      <c r="I8" s="295"/>
      <c r="J8" s="295"/>
      <c r="K8" s="190" t="s">
        <v>176</v>
      </c>
      <c r="L8" s="190">
        <v>12</v>
      </c>
      <c r="M8" s="191">
        <v>0.03</v>
      </c>
      <c r="N8" s="187">
        <f>IF(AND($S$4="Multi",$R$4="FY"),ROUNDUP(((1+$M8)^'W1'!$B$20*'W1'!$C$9+(1+$M8)^('W1'!$B$20+1)*'W1'!$C$10)/12*'Pilot Project Budget'!$E8*'Pilot Project Budget'!$F8,0),(IF(AND($S$4="Multi",$R$4="PY"),ROUND($E8*$F8/12*'W1'!$C$5,0),(IF(AND($S$4&lt;&gt;"Multi",$R$4="FY"),ROUND(((1+$S$4)^'W1'!$B$20*'W1'!$C$9+(1+$S$4)^('W1'!$B$20+1)*'W1'!$C$10)/12*'Pilot Project Budget'!$E8*'Pilot Project Budget'!$F8,0),ROUND($E8*$F8/12*'W1'!$C$5,0))))))</f>
        <v>0</v>
      </c>
      <c r="O8" s="187">
        <f>IF('W1'!$C$4='W1'!$D$4,(IF(AND($S$4="Multi",$R$4="FY"),ROUND(((1+$M8)^('W1'!$B$20)*'W1'!$D$9+(1+$M8)^('W1'!$B$20+1)*'W1'!$D$10)/12*'Pilot Project Budget'!$E8*'Pilot Project Budget'!$G8,0),(IF(AND($S$4="Multi",$R$4="PY"),ROUND($E8*$G8*(1+M8)/12*'W1'!$D$5,0),(IF(AND($S$4&lt;&gt;"Multi",$R$4="FY"),ROUND(((1+$S$4)^('W1'!$B$20)*'W1'!$D$9+(1+$S$4)^('W1'!$B$20+1)*'W1'!$D$10)/12*'Pilot Project Budget'!$E8*'Pilot Project Budget'!$G8,0),ROUND($E8*$G8*(1+$S$4)/12*'W1'!$D$5,0))))))),(IF(AND($S$4="Multi",$R$4="FY"),ROUND(((1+$M8)^('W1'!$B$20+1)*'W1'!$D$9+(1+$M8)^('W1'!$B$20+2)*'W1'!$D$10)/12*'Pilot Project Budget'!$E8*'Pilot Project Budget'!$G8,0),(IF(AND($S$4="Multi",$R$4="PY"),ROUND($E8*$G8*(1+M8)/12*'W1'!$D$5,0),(IF(AND($S$4&lt;&gt;"Multi",$R$4="FY"),ROUND(((1+$S$4)^('W1'!$B$20+1)*'W1'!$D$9+(1+$S$4)^('W1'!$B$20+2)*'W1'!$D$10)/12*'Pilot Project Budget'!$E8*'Pilot Project Budget'!$G8,0),ROUND($E8*$G8*(1+$S$4)/12*'W1'!$D$5,0))))))))</f>
        <v>0</v>
      </c>
      <c r="P8" s="187">
        <f>IF('W1'!$C$4='W1'!$D$4,(IF(AND($S$4="Multi",$R$4="FY"),ROUND(((1+$M8)^('W1'!$B$20+1)*'W1'!$E$9+(1+$M8)^('W1'!$B$20+2)*'W1'!$E$10)/12*'Pilot Project Budget'!$E8*'Pilot Project Budget'!H8,0),(IF(AND($S$4="Multi",$R$4="PY"),ROUND($E8*H8*((1+$M8)^2)/12*'W1'!$E$5,0),(IF(AND($S$4&lt;&gt;"Multi",$R$4="FY"),ROUND(((1+$S$4)^('W1'!$B$20+1)*'W1'!$E$9+(1+$S$4)^('W1'!$B$20+2)*'W1'!$E$10)/12*'Pilot Project Budget'!$E8*'Pilot Project Budget'!H8,0),ROUND($E8*H8*((1+$S$4)^2)/12*'W1'!$E$5,0))))))),(IF(AND($S$4="Multi",$R$4="FY"),ROUND(((1+$M8)^('W1'!$B$20+2)*'W1'!$E$9+(1+$M8)^('W1'!$B$20+3)*'W1'!$E$10)/12*'Pilot Project Budget'!$E8*'Pilot Project Budget'!H8,0),(IF(AND($S$4="Multi",$R$4="PY"),ROUND($E8*H8*((1+$M8)^2)/12*'W1'!$E$5,0),(IF(AND($S$4&lt;&gt;"Multi",$R$4="FY"),ROUND(((1+$S$4)^('W1'!$B$20+2)*'W1'!$E$9+(1+$S$4)^('W1'!$B$20+3)*'W1'!$E$10)/12*'Pilot Project Budget'!$E8*'Pilot Project Budget'!H8,0),ROUND($E8*H8*((1+$S$4)^2)/12*'W1'!$E$5,0))))))))</f>
        <v>0</v>
      </c>
      <c r="Q8" s="187">
        <f>IF('W1'!$C$4='W1'!$D$4,(IF(AND($S$4="Multi",$R$4="FY"),ROUND(((1+$M8)^('W1'!$B$20+2)*'W1'!$F$9+(1+$M8)^('W1'!$B$20+3)*'W1'!$F$10)/12*'Pilot Project Budget'!$E8*'Pilot Project Budget'!$I8,0),(IF(AND($S$4="Multi",$R$4="PY"),ROUND($E8*$I8*((1+$M8)^3)/12*'W1'!$F$5,0),(IF(AND($S$4&lt;&gt;"Multi",$R$4="FY"),ROUND(((1+$S$4)^('W1'!$B$20+2)*'W1'!$F$9+(1+$S$4)^('W1'!$B$20+3)*'W1'!$F$10)/12*'Pilot Project Budget'!$E8*'Pilot Project Budget'!$I8,0),ROUND($E8*$I8*((1+$S$4)^3)/12*'W1'!$F$5,0))))))),(IF(AND($S$4="Multi",$R$4="FY"),ROUND(((1+$M8)^('W1'!$B$20+3)*'W1'!$F$9+(1+$M8)^('W1'!$B$20+4)*'W1'!$F$10)/12*'Pilot Project Budget'!$E8*'Pilot Project Budget'!$I8,0),(IF(AND($S$4="Multi",$R$4="PY"),ROUND($E8*$I8*((1+$M8)^3)/12*'W1'!$F$5,0),(IF(AND($S$4&lt;&gt;"Multi",$R$4="FY"),ROUND(((1+$S$4)^('W1'!$B$20+3)*'W1'!$F$9+(1+$S$4)^('W1'!$B$20+4)*'W1'!$F$10)/12*'Pilot Project Budget'!$E8*'Pilot Project Budget'!$I8,0),ROUND($E8*$I8*((1+$S$4)^3)/12*'W1'!$F$5,0))))))))</f>
        <v>0</v>
      </c>
      <c r="R8" s="187">
        <f>IF('W1'!$C$4='W1'!$D$4,(IF(AND($S$4="Multi",$R$4="FY"),ROUND(((1+$M8)^('W1'!$B$20+3)*'W1'!$G$9+(1+$M8)^('W1'!$B$20+4)*'W1'!$G$10)/12*'Pilot Project Budget'!$E8*'Pilot Project Budget'!$J8,0),(IF(AND($S$4="Multi",$R$4="PY"),ROUND($E8*$J8*((1+$M8)^4)/12*'W1'!$G$5,0),(IF(AND($S$4&lt;&gt;"Multi",$R$4="FY"),ROUND(((1+$S$4)^('W1'!$B$20+3)*'W1'!$G$9+(1+$S$4)^('W1'!$B$20+4)*'W1'!$G$10)/12*'Pilot Project Budget'!$E8*'Pilot Project Budget'!$J8,0),ROUND($E8*$J8*((1+$S$4)^4)/12*'W1'!$G$5,0))))))),(IF(AND($S$4="Multi",$R$4="FY"),ROUND(((1+$M8)^('W1'!$B$20+4)*'W1'!$G$9+(1+$M8)^('W1'!$B$20+5)*'W1'!$G$10)/12*'Pilot Project Budget'!$E8*'Pilot Project Budget'!$J8,0),(IF(AND($S$4="Multi",$R$4="PY"),ROUND($E8*$J8*((1+$M8)^4)/12*'W1'!$G$5,0),(IF(AND($S$4&lt;&gt;"Multi",$R$4="FY"),ROUND(((1+$S$4)^('W1'!$B$20+4)*'W1'!$G$9+(1+$S$4)^('W1'!$B$20+5)*'W1'!$G$10)/12*'Pilot Project Budget'!$E8*'Pilot Project Budget'!$J8,0),ROUND($E8*$J8*((1+$S$4)^4)/12*'W1'!$G$5,0))))))))</f>
        <v>0</v>
      </c>
      <c r="S8" s="188">
        <f>SUM(N8:R8)</f>
        <v>0</v>
      </c>
      <c r="T8" s="246"/>
      <c r="U8" s="246"/>
      <c r="V8" s="246"/>
      <c r="W8" s="246"/>
      <c r="X8" s="246"/>
      <c r="Y8" s="247"/>
      <c r="Z8" s="247"/>
      <c r="AA8" s="247"/>
      <c r="AB8" s="247"/>
      <c r="AC8" s="24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</row>
    <row r="9" spans="1:51" x14ac:dyDescent="0.2">
      <c r="A9" s="192">
        <v>2</v>
      </c>
      <c r="B9" s="193"/>
      <c r="C9" s="193"/>
      <c r="D9" s="227"/>
      <c r="E9" s="195"/>
      <c r="F9" s="221"/>
      <c r="G9" s="221"/>
      <c r="H9" s="295"/>
      <c r="I9" s="295"/>
      <c r="J9" s="295"/>
      <c r="K9" s="190" t="s">
        <v>176</v>
      </c>
      <c r="L9" s="190">
        <v>12</v>
      </c>
      <c r="M9" s="191">
        <v>0.03</v>
      </c>
      <c r="N9" s="187">
        <f>IF(AND($S$4="Multi",$R$4="FY"),ROUND(((1+$M9)^'W1'!$B$20*'W1'!$C$9+(1+$M9)^('W1'!$B$20+1)*'W1'!$C$10)/12*'Pilot Project Budget'!$E9*'Pilot Project Budget'!$F9,0),(IF(AND($S$4="Multi",$R$4="PY"),ROUND(E9*F9/12*'W1'!$C$5,0),(IF(AND($S$4&lt;&gt;"Multi",$R$4="FY"),ROUND(((1+$S$4)^'W1'!$B$20*'W1'!$C$9+(1+$S$4)^('W1'!$B$20+1)*'W1'!$C$10)/12*'Pilot Project Budget'!$E9*'Pilot Project Budget'!$F9,0),ROUND($E9*$F9/12*'W1'!$C$5,0))))))</f>
        <v>0</v>
      </c>
      <c r="O9" s="187">
        <f>IF('W1'!$C$4='W1'!$D$4,(IF(AND($S$4="Multi",$R$4="FY"),ROUND(((1+$M9)^('W1'!$B$20)*'W1'!$D$9+(1+$M9)^('W1'!$B$20+1)*'W1'!$D$10)/12*'Pilot Project Budget'!$E9*'Pilot Project Budget'!$G9,0),(IF(AND($S$4="Multi",$R$4="PY"),ROUND($E9*$G9*(1+M9)/12*'W1'!$D$5,0),(IF(AND($S$4&lt;&gt;"Multi",$R$4="FY"),ROUND(((1+$S$4)^('W1'!$B$20)*'W1'!$D$9+(1+$S$4)^('W1'!$B$20+1)*'W1'!$D$10)/12*'Pilot Project Budget'!$E9*'Pilot Project Budget'!$G9,0),ROUND($E9*$G9*(1+$S$4)/12*'W1'!$D$5,0))))))),(IF(AND($S$4="Multi",$R$4="FY"),ROUND(((1+$M9)^('W1'!$B$20+1)*'W1'!$D$9+(1+$M9)^('W1'!$B$20+2)*'W1'!$D$10)/12*'Pilot Project Budget'!$E9*'Pilot Project Budget'!$G9,0),(IF(AND($S$4="Multi",$R$4="PY"),ROUND($E9*$G9*(1+M9)/12*'W1'!$D$5,0),(IF(AND($S$4&lt;&gt;"Multi",$R$4="FY"),ROUND(((1+$S$4)^('W1'!$B$20+1)*'W1'!$D$9+(1+$S$4)^('W1'!$B$20+2)*'W1'!$D$10)/12*'Pilot Project Budget'!$E9*'Pilot Project Budget'!$G9,0),ROUND($E9*$G9*(1+$S$4)/12*'W1'!$D$5,0))))))))</f>
        <v>0</v>
      </c>
      <c r="P9" s="187">
        <f>IF('W1'!$C$4='W1'!$D$4,(IF(AND($S$4="Multi",$R$4="FY"),ROUND(((1+$M9)^('W1'!$B$20+1)*'W1'!$E$9+(1+$M9)^('W1'!$B$20+2)*'W1'!$E$10)/12*'Pilot Project Budget'!$E9*'Pilot Project Budget'!H9,0),(IF(AND($S$4="Multi",$R$4="PY"),ROUND($E9*H9*((1+$M9)^2)/12*'W1'!$E$5,0),(IF(AND($S$4&lt;&gt;"Multi",$R$4="FY"),ROUND(((1+$S$4)^('W1'!$B$20+1)*'W1'!$E$9+(1+$S$4)^('W1'!$B$20+2)*'W1'!$E$10)/12*'Pilot Project Budget'!$E9*'Pilot Project Budget'!H9,0),ROUND($E9*H9*((1+$S$4)^2)/12*'W1'!$E$5,0))))))),(IF(AND($S$4="Multi",$R$4="FY"),ROUND(((1+$M9)^('W1'!$B$20+2)*'W1'!$E$9+(1+$M9)^('W1'!$B$20+3)*'W1'!$E$10)/12*'Pilot Project Budget'!$E9*'Pilot Project Budget'!H9,0),(IF(AND($S$4="Multi",$R$4="PY"),ROUND($E9*H9*((1+$M9)^2)/12*'W1'!$E$5,0),(IF(AND($S$4&lt;&gt;"Multi",$R$4="FY"),ROUND(((1+$S$4)^('W1'!$B$20+2)*'W1'!$E$9+(1+$S$4)^('W1'!$B$20+3)*'W1'!$E$10)/12*'Pilot Project Budget'!$E9*'Pilot Project Budget'!H9,0),ROUND($E9*H9*((1+$S$4)^2)/12*'W1'!$E$5,0))))))))</f>
        <v>0</v>
      </c>
      <c r="Q9" s="187">
        <f>IF('W1'!$C$4='W1'!$D$4,(IF(AND($S$4="Multi",$R$4="FY"),ROUND(((1+$M9)^('W1'!$B$20+2)*'W1'!$F$9+(1+$M9)^('W1'!$B$20+3)*'W1'!$F$10)/12*'Pilot Project Budget'!$E9*'Pilot Project Budget'!$I9,0),(IF(AND($S$4="Multi",$R$4="PY"),ROUND($E9*$I9*((1+$M9)^3)/12*'W1'!$F$5,0),(IF(AND($S$4&lt;&gt;"Multi",$R$4="FY"),ROUND(((1+$S$4)^('W1'!$B$20+2)*'W1'!$F$9+(1+$S$4)^('W1'!$B$20+3)*'W1'!$F$10)/12*'Pilot Project Budget'!$E9*'Pilot Project Budget'!$I9,0),ROUND($E9*$I9*((1+$S$4)^3)/12*'W1'!$F$5,0))))))),(IF(AND($S$4="Multi",$R$4="FY"),ROUND(((1+$M9)^('W1'!$B$20+3)*'W1'!$F$9+(1+$M9)^('W1'!$B$20+4)*'W1'!$F$10)/12*'Pilot Project Budget'!$E9*'Pilot Project Budget'!$I9,0),(IF(AND($S$4="Multi",$R$4="PY"),ROUND($E9*$I9*((1+$M9)^3)/12*'W1'!$F$5,0),(IF(AND($S$4&lt;&gt;"Multi",$R$4="FY"),ROUND(((1+$S$4)^('W1'!$B$20+3)*'W1'!$F$9+(1+$S$4)^('W1'!$B$20+4)*'W1'!$F$10)/12*'Pilot Project Budget'!$E9*'Pilot Project Budget'!$I9,0),ROUND($E9*$I9*((1+$S$4)^3)/12*'W1'!$F$5,0))))))))</f>
        <v>0</v>
      </c>
      <c r="R9" s="187">
        <f>IF('W1'!$C$4='W1'!$D$4,(IF(AND($S$4="Multi",$R$4="FY"),ROUND(((1+$M9)^('W1'!$B$20+3)*'W1'!$G$9+(1+$M9)^('W1'!$B$20+4)*'W1'!$G$10)/12*'Pilot Project Budget'!$E9*'Pilot Project Budget'!$J9,0),(IF(AND($S$4="Multi",$R$4="PY"),ROUND($E9*$J9*((1+$M9)^4)/12*'W1'!$G$5,0),(IF(AND($S$4&lt;&gt;"Multi",$R$4="FY"),ROUND(((1+$S$4)^('W1'!$B$20+3)*'W1'!$G$9+(1+$S$4)^('W1'!$B$20+4)*'W1'!$G$10)/12*'Pilot Project Budget'!$E9*'Pilot Project Budget'!$J9,0),ROUND($E9*$J9*((1+$S$4)^4)/12*'W1'!$G$5,0))))))),(IF(AND($S$4="Multi",$R$4="FY"),ROUND(((1+$M9)^('W1'!$B$20+4)*'W1'!$G$9+(1+$M9)^('W1'!$B$20+5)*'W1'!$G$10)/12*'Pilot Project Budget'!$E9*'Pilot Project Budget'!$J9,0),(IF(AND($S$4="Multi",$R$4="PY"),ROUND($E9*$J9*((1+$M9)^4)/12*'W1'!$G$5,0),(IF(AND($S$4&lt;&gt;"Multi",$R$4="FY"),ROUND(((1+$S$4)^('W1'!$B$20+4)*'W1'!$G$9+(1+$S$4)^('W1'!$B$20+5)*'W1'!$G$10)/12*'Pilot Project Budget'!$E9*'Pilot Project Budget'!$J9,0),ROUND($E9*$J9*((1+$S$4)^4)/12*'W1'!$G$5,0))))))))</f>
        <v>0</v>
      </c>
      <c r="S9" s="188">
        <f t="shared" ref="S9:S31" si="0">SUM(N9:R9)</f>
        <v>0</v>
      </c>
      <c r="T9" s="246"/>
      <c r="U9" s="246"/>
      <c r="V9" s="246"/>
      <c r="W9" s="246"/>
      <c r="X9" s="246"/>
      <c r="Y9" s="247"/>
      <c r="Z9" s="247"/>
      <c r="AA9" s="247"/>
      <c r="AB9" s="247"/>
      <c r="AC9" s="24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x14ac:dyDescent="0.2">
      <c r="A10" s="192">
        <v>3</v>
      </c>
      <c r="B10" s="193"/>
      <c r="C10" s="193"/>
      <c r="D10" s="194"/>
      <c r="E10" s="195"/>
      <c r="F10" s="221"/>
      <c r="G10" s="221"/>
      <c r="H10" s="295"/>
      <c r="I10" s="295"/>
      <c r="J10" s="295"/>
      <c r="K10" s="190" t="s">
        <v>176</v>
      </c>
      <c r="L10" s="190">
        <v>12</v>
      </c>
      <c r="M10" s="191">
        <v>0.03</v>
      </c>
      <c r="N10" s="187">
        <f>IF(AND($S$4="Multi",$R$4="FY"),ROUND(((1+$M10)^'W1'!$B$20*'W1'!$C$9+(1+$M10)^('W1'!$B$20+1)*'W1'!$C$10)/12*'Pilot Project Budget'!$E10*'Pilot Project Budget'!$F10,0),(IF(AND($S$4="Multi",$R$4="PY"),ROUND(E10*F10/12*'W1'!$C$5,0),(IF(AND($S$4&lt;&gt;"Multi",$R$4="FY"),ROUND(((1+$S$4)^'W1'!$B$20*'W1'!$C$9+(1+$S$4)^('W1'!$B$20+1)*'W1'!$C$10)/12*'Pilot Project Budget'!$E10*'Pilot Project Budget'!$F10,0),ROUND($E10*$F10/12*'W1'!$C$5,0))))))</f>
        <v>0</v>
      </c>
      <c r="O10" s="187">
        <f>IF('W1'!$C$4='W1'!$D$4,(IF(AND($S$4="Multi",$R$4="FY"),ROUND(((1+$M10)^('W1'!$B$20)*'W1'!$D$9+(1+$M10)^('W1'!$B$20+1)*'W1'!$D$10)/12*'Pilot Project Budget'!$E10*'Pilot Project Budget'!$G10,0),(IF(AND($S$4="Multi",$R$4="PY"),ROUND($E10*$G10*(1+M10)/12*'W1'!$D$5,0),(IF(AND($S$4&lt;&gt;"Multi",$R$4="FY"),ROUND(((1+$S$4)^('W1'!$B$20)*'W1'!$D$9+(1+$S$4)^('W1'!$B$20+1)*'W1'!$D$10)/12*'Pilot Project Budget'!$E10*'Pilot Project Budget'!$G10,0),ROUND($E10*$G10*(1+$S$4)/12*'W1'!$D$5,0))))))),(IF(AND($S$4="Multi",$R$4="FY"),ROUND(((1+$M10)^('W1'!$B$20+1)*'W1'!$D$9+(1+$M10)^('W1'!$B$20+2)*'W1'!$D$10)/12*'Pilot Project Budget'!$E10*'Pilot Project Budget'!$G10,0),(IF(AND($S$4="Multi",$R$4="PY"),ROUND($E10*$G10*(1+M10)/12*'W1'!$D$5,0),(IF(AND($S$4&lt;&gt;"Multi",$R$4="FY"),ROUND(((1+$S$4)^('W1'!$B$20+1)*'W1'!$D$9+(1+$S$4)^('W1'!$B$20+2)*'W1'!$D$10)/12*'Pilot Project Budget'!$E10*'Pilot Project Budget'!$G10,0),ROUND($E10*$G10*(1+$S$4)/12*'W1'!$D$5,0))))))))</f>
        <v>0</v>
      </c>
      <c r="P10" s="187">
        <f>IF('W1'!$C$4='W1'!$D$4,(IF(AND($S$4="Multi",$R$4="FY"),ROUND(((1+$M10)^('W1'!$B$20+1)*'W1'!$E$9+(1+$M10)^('W1'!$B$20+2)*'W1'!$E$10)/12*'Pilot Project Budget'!$E10*'Pilot Project Budget'!H10,0),(IF(AND($S$4="Multi",$R$4="PY"),ROUND($E10*H10*((1+$M10)^2)/12*'W1'!$E$5,0),(IF(AND($S$4&lt;&gt;"Multi",$R$4="FY"),ROUND(((1+$S$4)^('W1'!$B$20+1)*'W1'!$E$9+(1+$S$4)^('W1'!$B$20+2)*'W1'!$E$10)/12*'Pilot Project Budget'!$E10*'Pilot Project Budget'!H10,0),ROUND($E10*H10*((1+$S$4)^2)/12*'W1'!$E$5,0))))))),(IF(AND($S$4="Multi",$R$4="FY"),ROUND(((1+$M10)^('W1'!$B$20+2)*'W1'!$E$9+(1+$M10)^('W1'!$B$20+3)*'W1'!$E$10)/12*'Pilot Project Budget'!$E10*'Pilot Project Budget'!H10,0),(IF(AND($S$4="Multi",$R$4="PY"),ROUND($E10*H10*((1+$M10)^2)/12*'W1'!$E$5,0),(IF(AND($S$4&lt;&gt;"Multi",$R$4="FY"),ROUND(((1+$S$4)^('W1'!$B$20+2)*'W1'!$E$9+(1+$S$4)^('W1'!$B$20+3)*'W1'!$E$10)/12*'Pilot Project Budget'!$E10*'Pilot Project Budget'!H10,0),ROUND($E10*H10*((1+$S$4)^2)/12*'W1'!$E$5,0))))))))</f>
        <v>0</v>
      </c>
      <c r="Q10" s="187">
        <f>IF('W1'!$C$4='W1'!$D$4,(IF(AND($S$4="Multi",$R$4="FY"),ROUND(((1+$M10)^('W1'!$B$20+2)*'W1'!$F$9+(1+$M10)^('W1'!$B$20+3)*'W1'!$F$10)/12*'Pilot Project Budget'!$E10*'Pilot Project Budget'!$I10,0),(IF(AND($S$4="Multi",$R$4="PY"),ROUND($E10*$I10*((1+$M10)^3)/12*'W1'!$F$5,0),(IF(AND($S$4&lt;&gt;"Multi",$R$4="FY"),ROUND(((1+$S$4)^('W1'!$B$20+2)*'W1'!$F$9+(1+$S$4)^('W1'!$B$20+3)*'W1'!$F$10)/12*'Pilot Project Budget'!$E10*'Pilot Project Budget'!$I10,0),ROUND($E10*$I10*((1+$S$4)^3)/12*'W1'!$F$5,0))))))),(IF(AND($S$4="Multi",$R$4="FY"),ROUND(((1+$M10)^('W1'!$B$20+3)*'W1'!$F$9+(1+$M10)^('W1'!$B$20+4)*'W1'!$F$10)/12*'Pilot Project Budget'!$E10*'Pilot Project Budget'!$I10,0),(IF(AND($S$4="Multi",$R$4="PY"),ROUND($E10*$I10*((1+$M10)^3)/12*'W1'!$F$5,0),(IF(AND($S$4&lt;&gt;"Multi",$R$4="FY"),ROUND(((1+$S$4)^('W1'!$B$20+3)*'W1'!$F$9+(1+$S$4)^('W1'!$B$20+4)*'W1'!$F$10)/12*'Pilot Project Budget'!$E10*'Pilot Project Budget'!$I10,0),ROUND($E10*$I10*((1+$S$4)^3)/12*'W1'!$F$5,0))))))))</f>
        <v>0</v>
      </c>
      <c r="R10" s="187">
        <f>IF('W1'!$C$4='W1'!$D$4,(IF(AND($S$4="Multi",$R$4="FY"),ROUND(((1+$M10)^('W1'!$B$20+3)*'W1'!$G$9+(1+$M10)^('W1'!$B$20+4)*'W1'!$G$10)/12*'Pilot Project Budget'!$E10*'Pilot Project Budget'!$J10,0),(IF(AND($S$4="Multi",$R$4="PY"),ROUND($E10*$J10*((1+$M10)^4)/12*'W1'!$G$5,0),(IF(AND($S$4&lt;&gt;"Multi",$R$4="FY"),ROUND(((1+$S$4)^('W1'!$B$20+3)*'W1'!$G$9+(1+$S$4)^('W1'!$B$20+4)*'W1'!$G$10)/12*'Pilot Project Budget'!$E10*'Pilot Project Budget'!$J10,0),ROUND($E10*$J10*((1+$S$4)^4)/12*'W1'!$G$5,0))))))),(IF(AND($S$4="Multi",$R$4="FY"),ROUND(((1+$M10)^('W1'!$B$20+4)*'W1'!$G$9+(1+$M10)^('W1'!$B$20+5)*'W1'!$G$10)/12*'Pilot Project Budget'!$E10*'Pilot Project Budget'!$J10,0),(IF(AND($S$4="Multi",$R$4="PY"),ROUND($E10*$J10*((1+$M10)^4)/12*'W1'!$G$5,0),(IF(AND($S$4&lt;&gt;"Multi",$R$4="FY"),ROUND(((1+$S$4)^('W1'!$B$20+4)*'W1'!$G$9+(1+$S$4)^('W1'!$B$20+5)*'W1'!$G$10)/12*'Pilot Project Budget'!$E10*'Pilot Project Budget'!$J10,0),ROUND($E10*$J10*((1+$S$4)^4)/12*'W1'!$G$5,0))))))))</f>
        <v>0</v>
      </c>
      <c r="S10" s="188">
        <f t="shared" si="0"/>
        <v>0</v>
      </c>
      <c r="T10" s="246"/>
      <c r="U10" s="246"/>
      <c r="V10" s="246"/>
      <c r="W10" s="246"/>
      <c r="X10" s="246"/>
      <c r="Y10" s="247"/>
      <c r="Z10" s="247"/>
      <c r="AA10" s="247"/>
      <c r="AB10" s="247"/>
      <c r="AC10" s="24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x14ac:dyDescent="0.2">
      <c r="A11" s="192">
        <v>4</v>
      </c>
      <c r="B11" s="193"/>
      <c r="C11" s="193"/>
      <c r="D11" s="194"/>
      <c r="E11" s="195"/>
      <c r="F11" s="221"/>
      <c r="G11" s="221"/>
      <c r="H11" s="295"/>
      <c r="I11" s="295"/>
      <c r="J11" s="295"/>
      <c r="K11" s="190" t="s">
        <v>176</v>
      </c>
      <c r="L11" s="190">
        <v>12</v>
      </c>
      <c r="M11" s="191">
        <v>0.03</v>
      </c>
      <c r="N11" s="187">
        <f>IF(AND($S$4="Multi",$R$4="FY"),ROUND(((1+$M11)^'W1'!$B$20*'W1'!$C$9+(1+$M11)^('W1'!$B$20+1)*'W1'!$C$10)/12*'Pilot Project Budget'!$E11*'Pilot Project Budget'!$F11,0),(IF(AND($S$4="Multi",$R$4="PY"),ROUND(E11*F11/12*'W1'!$C$5,0),(IF(AND($S$4&lt;&gt;"Multi",$R$4="FY"),ROUND(((1+$S$4)^'W1'!$B$20*'W1'!$C$9+(1+$S$4)^('W1'!$B$20+1)*'W1'!$C$10)/12*'Pilot Project Budget'!$E11*'Pilot Project Budget'!$F11,0),ROUND($E11*$F11/12*'W1'!$C$5,0))))))</f>
        <v>0</v>
      </c>
      <c r="O11" s="187">
        <f>IF('W1'!$C$4='W1'!$D$4,(IF(AND($S$4="Multi",$R$4="FY"),ROUND(((1+$M11)^('W1'!$B$20)*'W1'!$D$9+(1+$M11)^('W1'!$B$20+1)*'W1'!$D$10)/12*'Pilot Project Budget'!$E11*'Pilot Project Budget'!$G11,0),(IF(AND($S$4="Multi",$R$4="PY"),ROUND($E11*$G11*(1+M11)/12*'W1'!$D$5,0),(IF(AND($S$4&lt;&gt;"Multi",$R$4="FY"),ROUND(((1+$S$4)^('W1'!$B$20)*'W1'!$D$9+(1+$S$4)^('W1'!$B$20+1)*'W1'!$D$10)/12*'Pilot Project Budget'!$E11*'Pilot Project Budget'!$G11,0),ROUND($E11*$G11*(1+$S$4)/12*'W1'!$D$5,0))))))),(IF(AND($S$4="Multi",$R$4="FY"),ROUND(((1+$M11)^('W1'!$B$20+1)*'W1'!$D$9+(1+$M11)^('W1'!$B$20+2)*'W1'!$D$10)/12*'Pilot Project Budget'!$E11*'Pilot Project Budget'!$G11,0),(IF(AND($S$4="Multi",$R$4="PY"),ROUND($E11*$G11*(1+M11)/12*'W1'!$D$5,0),(IF(AND($S$4&lt;&gt;"Multi",$R$4="FY"),ROUND(((1+$S$4)^('W1'!$B$20+1)*'W1'!$D$9+(1+$S$4)^('W1'!$B$20+2)*'W1'!$D$10)/12*'Pilot Project Budget'!$E11*'Pilot Project Budget'!$G11,0),ROUND($E11*$G11*(1+$S$4)/12*'W1'!$D$5,0))))))))</f>
        <v>0</v>
      </c>
      <c r="P11" s="187">
        <f>IF('W1'!$C$4='W1'!$D$4,(IF(AND($S$4="Multi",$R$4="FY"),ROUND(((1+$M11)^('W1'!$B$20+1)*'W1'!$E$9+(1+$M11)^('W1'!$B$20+2)*'W1'!$E$10)/12*'Pilot Project Budget'!$E11*'Pilot Project Budget'!H11,0),(IF(AND($S$4="Multi",$R$4="PY"),ROUND($E11*H11*((1+$M11)^2)/12*'W1'!$E$5,0),(IF(AND($S$4&lt;&gt;"Multi",$R$4="FY"),ROUND(((1+$S$4)^('W1'!$B$20+1)*'W1'!$E$9+(1+$S$4)^('W1'!$B$20+2)*'W1'!$E$10)/12*'Pilot Project Budget'!$E11*'Pilot Project Budget'!H11,0),ROUND($E11*H11*((1+$S$4)^2)/12*'W1'!$E$5,0))))))),(IF(AND($S$4="Multi",$R$4="FY"),ROUND(((1+$M11)^('W1'!$B$20+2)*'W1'!$E$9+(1+$M11)^('W1'!$B$20+3)*'W1'!$E$10)/12*'Pilot Project Budget'!$E11*'Pilot Project Budget'!H11,0),(IF(AND($S$4="Multi",$R$4="PY"),ROUND($E11*H11*((1+$M11)^2)/12*'W1'!$E$5,0),(IF(AND($S$4&lt;&gt;"Multi",$R$4="FY"),ROUND(((1+$S$4)^('W1'!$B$20+2)*'W1'!$E$9+(1+$S$4)^('W1'!$B$20+3)*'W1'!$E$10)/12*'Pilot Project Budget'!$E11*'Pilot Project Budget'!H11,0),ROUND($E11*H11*((1+$S$4)^2)/12*'W1'!$E$5,0))))))))</f>
        <v>0</v>
      </c>
      <c r="Q11" s="187">
        <f>IF('W1'!$C$4='W1'!$D$4,(IF(AND($S$4="Multi",$R$4="FY"),ROUND(((1+$M11)^('W1'!$B$20+2)*'W1'!$F$9+(1+$M11)^('W1'!$B$20+3)*'W1'!$F$10)/12*'Pilot Project Budget'!$E11*'Pilot Project Budget'!$I11,0),(IF(AND($S$4="Multi",$R$4="PY"),ROUND($E11*$I11*((1+$M11)^3)/12*'W1'!$F$5,0),(IF(AND($S$4&lt;&gt;"Multi",$R$4="FY"),ROUND(((1+$S$4)^('W1'!$B$20+2)*'W1'!$F$9+(1+$S$4)^('W1'!$B$20+3)*'W1'!$F$10)/12*'Pilot Project Budget'!$E11*'Pilot Project Budget'!$I11,0),ROUND($E11*$I11*((1+$S$4)^3)/12*'W1'!$F$5,0))))))),(IF(AND($S$4="Multi",$R$4="FY"),ROUND(((1+$M11)^('W1'!$B$20+3)*'W1'!$F$9+(1+$M11)^('W1'!$B$20+4)*'W1'!$F$10)/12*'Pilot Project Budget'!$E11*'Pilot Project Budget'!$I11,0),(IF(AND($S$4="Multi",$R$4="PY"),ROUND($E11*$I11*((1+$M11)^3)/12*'W1'!$F$5,0),(IF(AND($S$4&lt;&gt;"Multi",$R$4="FY"),ROUND(((1+$S$4)^('W1'!$B$20+3)*'W1'!$F$9+(1+$S$4)^('W1'!$B$20+4)*'W1'!$F$10)/12*'Pilot Project Budget'!$E11*'Pilot Project Budget'!$I11,0),ROUND($E11*$I11*((1+$S$4)^3)/12*'W1'!$F$5,0))))))))</f>
        <v>0</v>
      </c>
      <c r="R11" s="187">
        <f>IF('W1'!$C$4='W1'!$D$4,(IF(AND($S$4="Multi",$R$4="FY"),ROUND(((1+$M11)^('W1'!$B$20+3)*'W1'!$G$9+(1+$M11)^('W1'!$B$20+4)*'W1'!$G$10)/12*'Pilot Project Budget'!$E11*'Pilot Project Budget'!$J11,0),(IF(AND($S$4="Multi",$R$4="PY"),ROUND($E11*$J11*((1+$M11)^4)/12*'W1'!$G$5,0),(IF(AND($S$4&lt;&gt;"Multi",$R$4="FY"),ROUND(((1+$S$4)^('W1'!$B$20+3)*'W1'!$G$9+(1+$S$4)^('W1'!$B$20+4)*'W1'!$G$10)/12*'Pilot Project Budget'!$E11*'Pilot Project Budget'!$J11,0),ROUND($E11*$J11*((1+$S$4)^4)/12*'W1'!$G$5,0))))))),(IF(AND($S$4="Multi",$R$4="FY"),ROUND(((1+$M11)^('W1'!$B$20+4)*'W1'!$G$9+(1+$M11)^('W1'!$B$20+5)*'W1'!$G$10)/12*'Pilot Project Budget'!$E11*'Pilot Project Budget'!$J11,0),(IF(AND($S$4="Multi",$R$4="PY"),ROUND($E11*$J11*((1+$M11)^4)/12*'W1'!$G$5,0),(IF(AND($S$4&lt;&gt;"Multi",$R$4="FY"),ROUND(((1+$S$4)^('W1'!$B$20+4)*'W1'!$G$9+(1+$S$4)^('W1'!$B$20+5)*'W1'!$G$10)/12*'Pilot Project Budget'!$E11*'Pilot Project Budget'!$J11,0),ROUND($E11*$J11*((1+$S$4)^4)/12*'W1'!$G$5,0))))))))</f>
        <v>0</v>
      </c>
      <c r="S11" s="188">
        <f t="shared" si="0"/>
        <v>0</v>
      </c>
      <c r="T11" s="246"/>
      <c r="U11" s="246"/>
      <c r="V11" s="246"/>
      <c r="W11" s="246"/>
      <c r="X11" s="246"/>
      <c r="Y11" s="247"/>
      <c r="Z11" s="247"/>
      <c r="AA11" s="247"/>
      <c r="AB11" s="247"/>
      <c r="AC11" s="24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x14ac:dyDescent="0.2">
      <c r="A12" s="192">
        <v>5</v>
      </c>
      <c r="B12" s="193"/>
      <c r="C12" s="193"/>
      <c r="D12" s="194"/>
      <c r="E12" s="195"/>
      <c r="F12" s="221"/>
      <c r="G12" s="221"/>
      <c r="H12" s="295"/>
      <c r="I12" s="295"/>
      <c r="J12" s="295"/>
      <c r="K12" s="190" t="s">
        <v>176</v>
      </c>
      <c r="L12" s="190">
        <v>12</v>
      </c>
      <c r="M12" s="191">
        <v>0.03</v>
      </c>
      <c r="N12" s="187">
        <f>IF(AND($S$4="Multi",$R$4="FY"),ROUND(((1+$M12)^'W1'!$B$20*'W1'!$C$9+(1+$M12)^('W1'!$B$20+1)*'W1'!$C$10)/12*'Pilot Project Budget'!$E12*'Pilot Project Budget'!$F12,0),(IF(AND($S$4="Multi",$R$4="PY"),ROUND(E12*F12/12*'W1'!$C$5,0),(IF(AND($S$4&lt;&gt;"Multi",$R$4="FY"),ROUND(((1+$S$4)^'W1'!$B$20*'W1'!$C$9+(1+$S$4)^('W1'!$B$20+1)*'W1'!$C$10)/12*'Pilot Project Budget'!$E12*'Pilot Project Budget'!$F12,0),ROUND($E12*$F12/12*'W1'!$C$5,0))))))</f>
        <v>0</v>
      </c>
      <c r="O12" s="187">
        <f>IF('W1'!$C$4='W1'!$D$4,(IF(AND($S$4="Multi",$R$4="FY"),ROUND(((1+$M12)^('W1'!$B$20)*'W1'!$D$9+(1+$M12)^('W1'!$B$20+1)*'W1'!$D$10)/12*'Pilot Project Budget'!$E12*'Pilot Project Budget'!$G12,0),(IF(AND($S$4="Multi",$R$4="PY"),ROUND($E12*$G12*(1+M12)/12*'W1'!$D$5,0),(IF(AND($S$4&lt;&gt;"Multi",$R$4="FY"),ROUND(((1+$S$4)^('W1'!$B$20)*'W1'!$D$9+(1+$S$4)^('W1'!$B$20+1)*'W1'!$D$10)/12*'Pilot Project Budget'!$E12*'Pilot Project Budget'!$G12,0),ROUND($E12*$G12*(1+$S$4)/12*'W1'!$D$5,0))))))),(IF(AND($S$4="Multi",$R$4="FY"),ROUND(((1+$M12)^('W1'!$B$20+1)*'W1'!$D$9+(1+$M12)^('W1'!$B$20+2)*'W1'!$D$10)/12*'Pilot Project Budget'!$E12*'Pilot Project Budget'!$G12,0),(IF(AND($S$4="Multi",$R$4="PY"),ROUND($E12*$G12*(1+M12)/12*'W1'!$D$5,0),(IF(AND($S$4&lt;&gt;"Multi",$R$4="FY"),ROUND(((1+$S$4)^('W1'!$B$20+1)*'W1'!$D$9+(1+$S$4)^('W1'!$B$20+2)*'W1'!$D$10)/12*'Pilot Project Budget'!$E12*'Pilot Project Budget'!$G12,0),ROUND($E12*$G12*(1+$S$4)/12*'W1'!$D$5,0))))))))</f>
        <v>0</v>
      </c>
      <c r="P12" s="187">
        <f>IF('W1'!$C$4='W1'!$D$4,(IF(AND($S$4="Multi",$R$4="FY"),ROUND(((1+$M12)^('W1'!$B$20+1)*'W1'!$E$9+(1+$M12)^('W1'!$B$20+2)*'W1'!$E$10)/12*'Pilot Project Budget'!$E12*'Pilot Project Budget'!H12,0),(IF(AND($S$4="Multi",$R$4="PY"),ROUND($E12*H12*((1+$M12)^2)/12*'W1'!$E$5,0),(IF(AND($S$4&lt;&gt;"Multi",$R$4="FY"),ROUND(((1+$S$4)^('W1'!$B$20+1)*'W1'!$E$9+(1+$S$4)^('W1'!$B$20+2)*'W1'!$E$10)/12*'Pilot Project Budget'!$E12*'Pilot Project Budget'!H12,0),ROUND($E12*H12*((1+$S$4)^2)/12*'W1'!$E$5,0))))))),(IF(AND($S$4="Multi",$R$4="FY"),ROUND(((1+$M12)^('W1'!$B$20+2)*'W1'!$E$9+(1+$M12)^('W1'!$B$20+3)*'W1'!$E$10)/12*'Pilot Project Budget'!$E12*'Pilot Project Budget'!H12,0),(IF(AND($S$4="Multi",$R$4="PY"),ROUND($E12*H12*((1+$M12)^2)/12*'W1'!$E$5,0),(IF(AND($S$4&lt;&gt;"Multi",$R$4="FY"),ROUND(((1+$S$4)^('W1'!$B$20+2)*'W1'!$E$9+(1+$S$4)^('W1'!$B$20+3)*'W1'!$E$10)/12*'Pilot Project Budget'!$E12*'Pilot Project Budget'!H12,0),ROUND($E12*H12*((1+$S$4)^2)/12*'W1'!$E$5,0))))))))</f>
        <v>0</v>
      </c>
      <c r="Q12" s="187">
        <f>IF('W1'!$C$4='W1'!$D$4,(IF(AND($S$4="Multi",$R$4="FY"),ROUND(((1+$M12)^('W1'!$B$20+2)*'W1'!$F$9+(1+$M12)^('W1'!$B$20+3)*'W1'!$F$10)/12*'Pilot Project Budget'!$E12*'Pilot Project Budget'!$I12,0),(IF(AND($S$4="Multi",$R$4="PY"),ROUND($E12*$I12*((1+$M12)^3)/12*'W1'!$F$5,0),(IF(AND($S$4&lt;&gt;"Multi",$R$4="FY"),ROUND(((1+$S$4)^('W1'!$B$20+2)*'W1'!$F$9+(1+$S$4)^('W1'!$B$20+3)*'W1'!$F$10)/12*'Pilot Project Budget'!$E12*'Pilot Project Budget'!$I12,0),ROUND($E12*$I12*((1+$S$4)^3)/12*'W1'!$F$5,0))))))),(IF(AND($S$4="Multi",$R$4="FY"),ROUND(((1+$M12)^('W1'!$B$20+3)*'W1'!$F$9+(1+$M12)^('W1'!$B$20+4)*'W1'!$F$10)/12*'Pilot Project Budget'!$E12*'Pilot Project Budget'!$I12,0),(IF(AND($S$4="Multi",$R$4="PY"),ROUND($E12*$I12*((1+$M12)^3)/12*'W1'!$F$5,0),(IF(AND($S$4&lt;&gt;"Multi",$R$4="FY"),ROUND(((1+$S$4)^('W1'!$B$20+3)*'W1'!$F$9+(1+$S$4)^('W1'!$B$20+4)*'W1'!$F$10)/12*'Pilot Project Budget'!$E12*'Pilot Project Budget'!$I12,0),ROUND($E12*$I12*((1+$S$4)^3)/12*'W1'!$F$5,0))))))))</f>
        <v>0</v>
      </c>
      <c r="R12" s="187">
        <f>IF('W1'!$C$4='W1'!$D$4,(IF(AND($S$4="Multi",$R$4="FY"),ROUND(((1+$M12)^('W1'!$B$20+3)*'W1'!$G$9+(1+$M12)^('W1'!$B$20+4)*'W1'!$G$10)/12*'Pilot Project Budget'!$E12*'Pilot Project Budget'!$J12,0),(IF(AND($S$4="Multi",$R$4="PY"),ROUND($E12*$J12*((1+$M12)^4)/12*'W1'!$G$5,0),(IF(AND($S$4&lt;&gt;"Multi",$R$4="FY"),ROUND(((1+$S$4)^('W1'!$B$20+3)*'W1'!$G$9+(1+$S$4)^('W1'!$B$20+4)*'W1'!$G$10)/12*'Pilot Project Budget'!$E12*'Pilot Project Budget'!$J12,0),ROUND($E12*$J12*((1+$S$4)^4)/12*'W1'!$G$5,0))))))),(IF(AND($S$4="Multi",$R$4="FY"),ROUND(((1+$M12)^('W1'!$B$20+4)*'W1'!$G$9+(1+$M12)^('W1'!$B$20+5)*'W1'!$G$10)/12*'Pilot Project Budget'!$E12*'Pilot Project Budget'!$J12,0),(IF(AND($S$4="Multi",$R$4="PY"),ROUND($E12*$J12*((1+$M12)^4)/12*'W1'!$G$5,0),(IF(AND($S$4&lt;&gt;"Multi",$R$4="FY"),ROUND(((1+$S$4)^('W1'!$B$20+4)*'W1'!$G$9+(1+$S$4)^('W1'!$B$20+5)*'W1'!$G$10)/12*'Pilot Project Budget'!$E12*'Pilot Project Budget'!$J12,0),ROUND($E12*$J12*((1+$S$4)^4)/12*'W1'!$G$5,0))))))))</f>
        <v>0</v>
      </c>
      <c r="S12" s="188">
        <f t="shared" si="0"/>
        <v>0</v>
      </c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ht="12.75" hidden="1" customHeight="1" x14ac:dyDescent="0.2">
      <c r="A13" s="192">
        <v>6</v>
      </c>
      <c r="B13" s="193"/>
      <c r="C13" s="193"/>
      <c r="D13" s="194"/>
      <c r="E13" s="195"/>
      <c r="F13" s="221"/>
      <c r="G13" s="221"/>
      <c r="H13" s="221"/>
      <c r="I13" s="221"/>
      <c r="J13" s="221"/>
      <c r="K13" s="190" t="s">
        <v>176</v>
      </c>
      <c r="L13" s="190">
        <v>12</v>
      </c>
      <c r="M13" s="191">
        <v>0.03</v>
      </c>
      <c r="N13" s="187">
        <f>IF(AND($S$4="Multi",$R$4="FY"),ROUND(((1+$M13)^'W1'!$B$20*'W1'!$C$9+(1+$M13)^('W1'!$B$20+1)*'W1'!$C$10)/12*'Pilot Project Budget'!$E13*'Pilot Project Budget'!$F13,0),(IF(AND($S$4="Multi",$R$4="PY"),ROUND(E13*F13/12*'W1'!$C$5,0),(IF(AND($S$4&lt;&gt;"Multi",$R$4="FY"),ROUND(((1+$S$4)^'W1'!$B$20*'W1'!$C$9+(1+$S$4)^('W1'!$B$20+1)*'W1'!$C$10)/12*'Pilot Project Budget'!$E13*'Pilot Project Budget'!$F13,0),ROUND($E13*$F13/12*'W1'!$C$5,0))))))</f>
        <v>0</v>
      </c>
      <c r="O13" s="187">
        <f>IF('W1'!$C$4='W1'!$D$4,(IF(AND($S$4="Multi",$R$4="FY"),ROUND(((1+$M13)^('W1'!$B$20)*'W1'!$D$9+(1+$M13)^('W1'!$B$20+1)*'W1'!$D$10)/12*'Pilot Project Budget'!$E13*'Pilot Project Budget'!$G13,0),(IF(AND($S$4="Multi",$R$4="PY"),ROUND($E13*$G13*(1+M13)/12*'W1'!$D$5,0),(IF(AND($S$4&lt;&gt;"Multi",$R$4="FY"),ROUND(((1+$S$4)^('W1'!$B$20)*'W1'!$D$9+(1+$S$4)^('W1'!$B$20+1)*'W1'!$D$10)/12*'Pilot Project Budget'!$E13*'Pilot Project Budget'!$G13,0),ROUND($E13*$G13*(1+$S$4)/12*'W1'!$D$5,0))))))),(IF(AND($S$4="Multi",$R$4="FY"),ROUND(((1+$M13)^('W1'!$B$20+1)*'W1'!$D$9+(1+$M13)^('W1'!$B$20+2)*'W1'!$D$10)/12*'Pilot Project Budget'!$E13*'Pilot Project Budget'!$G13,0),(IF(AND($S$4="Multi",$R$4="PY"),ROUND($E13*$G13*(1+M13)/12*'W1'!$D$5,0),(IF(AND($S$4&lt;&gt;"Multi",$R$4="FY"),ROUND(((1+$S$4)^('W1'!$B$20+1)*'W1'!$D$9+(1+$S$4)^('W1'!$B$20+2)*'W1'!$D$10)/12*'Pilot Project Budget'!$E13*'Pilot Project Budget'!$G13,0),ROUND($E13*$G13*(1+$S$4)/12*'W1'!$D$5,0))))))))</f>
        <v>0</v>
      </c>
      <c r="P13" s="187">
        <f>IF('W1'!$C$4='W1'!$D$4,(IF(AND($S$4="Multi",$R$4="FY"),ROUND(((1+$M13)^('W1'!$B$20+1)*'W1'!$E$9+(1+$M13)^('W1'!$B$20+2)*'W1'!$E$10)/12*'Pilot Project Budget'!$E13*'Pilot Project Budget'!H13,0),(IF(AND($S$4="Multi",$R$4="PY"),ROUND($E13*H13*((1+$M13)^2)/12*'W1'!$E$5,0),(IF(AND($S$4&lt;&gt;"Multi",$R$4="FY"),ROUND(((1+$S$4)^('W1'!$B$20+1)*'W1'!$E$9+(1+$S$4)^('W1'!$B$20+2)*'W1'!$E$10)/12*'Pilot Project Budget'!$E13*'Pilot Project Budget'!H13,0),ROUND($E13*H13*((1+$S$4)^2)/12*'W1'!$E$5,0))))))),(IF(AND($S$4="Multi",$R$4="FY"),ROUND(((1+$M13)^('W1'!$B$20+2)*'W1'!$E$9+(1+$M13)^('W1'!$B$20+3)*'W1'!$E$10)/12*'Pilot Project Budget'!$E13*'Pilot Project Budget'!H13,0),(IF(AND($S$4="Multi",$R$4="PY"),ROUND($E13*H13*((1+$M13)^2)/12*'W1'!$E$5,0),(IF(AND($S$4&lt;&gt;"Multi",$R$4="FY"),ROUND(((1+$S$4)^('W1'!$B$20+2)*'W1'!$E$9+(1+$S$4)^('W1'!$B$20+3)*'W1'!$E$10)/12*'Pilot Project Budget'!$E13*'Pilot Project Budget'!H13,0),ROUND($E13*H13*((1+$S$4)^2)/12*'W1'!$E$5,0))))))))</f>
        <v>0</v>
      </c>
      <c r="Q13" s="187">
        <f>IF('W1'!$C$4='W1'!$D$4,(IF(AND($S$4="Multi",$R$4="FY"),ROUND(((1+$M13)^('W1'!$B$20+2)*'W1'!$F$9+(1+$M13)^('W1'!$B$20+3)*'W1'!$F$10)/12*'Pilot Project Budget'!$E13*'Pilot Project Budget'!$I13,0),(IF(AND($S$4="Multi",$R$4="PY"),ROUND($E13*$I13*((1+$M13)^3)/12*'W1'!$F$5,0),(IF(AND($S$4&lt;&gt;"Multi",$R$4="FY"),ROUND(((1+$S$4)^('W1'!$B$20+2)*'W1'!$F$9+(1+$S$4)^('W1'!$B$20+3)*'W1'!$F$10)/12*'Pilot Project Budget'!$E13*'Pilot Project Budget'!$I13,0),ROUND($E13*$I13*((1+$S$4)^3)/12*'W1'!$F$5,0))))))),(IF(AND($S$4="Multi",$R$4="FY"),ROUND(((1+$M13)^('W1'!$B$20+3)*'W1'!$F$9+(1+$M13)^('W1'!$B$20+4)*'W1'!$F$10)/12*'Pilot Project Budget'!$E13*'Pilot Project Budget'!$I13,0),(IF(AND($S$4="Multi",$R$4="PY"),ROUND($E13*$I13*((1+$M13)^3)/12*'W1'!$F$5,0),(IF(AND($S$4&lt;&gt;"Multi",$R$4="FY"),ROUND(((1+$S$4)^('W1'!$B$20+3)*'W1'!$F$9+(1+$S$4)^('W1'!$B$20+4)*'W1'!$F$10)/12*'Pilot Project Budget'!$E13*'Pilot Project Budget'!$I13,0),ROUND($E13*$I13*((1+$S$4)^3)/12*'W1'!$F$5,0))))))))</f>
        <v>0</v>
      </c>
      <c r="R13" s="187">
        <f>IF('W1'!$C$4='W1'!$D$4,(IF(AND($S$4="Multi",$R$4="FY"),ROUND(((1+$M13)^('W1'!$B$20+3)*'W1'!$G$9+(1+$M13)^('W1'!$B$20+4)*'W1'!$G$10)/12*'Pilot Project Budget'!$E13*'Pilot Project Budget'!$J13,0),(IF(AND($S$4="Multi",$R$4="PY"),ROUND($E13*$J13*((1+$M13)^4)/12*'W1'!$G$5,0),(IF(AND($S$4&lt;&gt;"Multi",$R$4="FY"),ROUND(((1+$S$4)^('W1'!$B$20+3)*'W1'!$G$9+(1+$S$4)^('W1'!$B$20+4)*'W1'!$G$10)/12*'Pilot Project Budget'!$E13*'Pilot Project Budget'!$J13,0),ROUND($E13*$J13*((1+$S$4)^4)/12*'W1'!$G$5,0))))))),(IF(AND($S$4="Multi",$R$4="FY"),ROUND(((1+$M13)^('W1'!$B$20+4)*'W1'!$G$9+(1+$M13)^('W1'!$B$20+5)*'W1'!$G$10)/12*'Pilot Project Budget'!$E13*'Pilot Project Budget'!$J13,0),(IF(AND($S$4="Multi",$R$4="PY"),ROUND($E13*$J13*((1+$M13)^4)/12*'W1'!$G$5,0),(IF(AND($S$4&lt;&gt;"Multi",$R$4="FY"),ROUND(((1+$S$4)^('W1'!$B$20+4)*'W1'!$G$9+(1+$S$4)^('W1'!$B$20+5)*'W1'!$G$10)/12*'Pilot Project Budget'!$E13*'Pilot Project Budget'!$J13,0),ROUND($E13*$J13*((1+$S$4)^4)/12*'W1'!$G$5,0))))))))</f>
        <v>0</v>
      </c>
      <c r="S13" s="188">
        <f t="shared" si="0"/>
        <v>0</v>
      </c>
      <c r="T13" s="246"/>
      <c r="U13" s="246"/>
      <c r="V13" s="246"/>
      <c r="W13" s="246"/>
      <c r="X13" s="246"/>
      <c r="Y13" s="247"/>
      <c r="Z13" s="247"/>
      <c r="AA13" s="247"/>
      <c r="AB13" s="247"/>
      <c r="AC13" s="24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hidden="1" x14ac:dyDescent="0.2">
      <c r="A14" s="192">
        <v>7</v>
      </c>
      <c r="B14" s="193"/>
      <c r="C14" s="193"/>
      <c r="D14" s="194"/>
      <c r="E14" s="195"/>
      <c r="F14" s="221"/>
      <c r="G14" s="221"/>
      <c r="H14" s="221"/>
      <c r="I14" s="221"/>
      <c r="J14" s="221"/>
      <c r="K14" s="190" t="s">
        <v>176</v>
      </c>
      <c r="L14" s="190">
        <v>12</v>
      </c>
      <c r="M14" s="191">
        <v>0.03</v>
      </c>
      <c r="N14" s="187">
        <f>IF(AND($S$4="Multi",$R$4="FY"),ROUND(((1+$M14)^'W1'!$B$20*'W1'!$C$9+(1+$M14)^('W1'!$B$20+1)*'W1'!$C$10)/12*'Pilot Project Budget'!$E14*'Pilot Project Budget'!$F14,0),(IF(AND($S$4="Multi",$R$4="PY"),ROUND(E14*F14/12*'W1'!$C$5,0),(IF(AND($S$4&lt;&gt;"Multi",$R$4="FY"),ROUND(((1+$S$4)^'W1'!$B$20*'W1'!$C$9+(1+$S$4)^('W1'!$B$20+1)*'W1'!$C$10)/12*'Pilot Project Budget'!$E14*'Pilot Project Budget'!$F14,0),ROUND($E14*$F14/12*'W1'!$C$5,0))))))</f>
        <v>0</v>
      </c>
      <c r="O14" s="187">
        <f>IF('W1'!$C$4='W1'!$D$4,(IF(AND($S$4="Multi",$R$4="FY"),ROUND(((1+$M14)^('W1'!$B$20)*'W1'!$D$9+(1+$M14)^('W1'!$B$20+1)*'W1'!$D$10)/12*'Pilot Project Budget'!$E14*'Pilot Project Budget'!$G14,0),(IF(AND($S$4="Multi",$R$4="PY"),ROUND($E14*$G14*(1+M14)/12*'W1'!$D$5,0),(IF(AND($S$4&lt;&gt;"Multi",$R$4="FY"),ROUND(((1+$S$4)^('W1'!$B$20)*'W1'!$D$9+(1+$S$4)^('W1'!$B$20+1)*'W1'!$D$10)/12*'Pilot Project Budget'!$E14*'Pilot Project Budget'!$G14,0),ROUND($E14*$G14*(1+$S$4)/12*'W1'!$D$5,0))))))),(IF(AND($S$4="Multi",$R$4="FY"),ROUND(((1+$M14)^('W1'!$B$20+1)*'W1'!$D$9+(1+$M14)^('W1'!$B$20+2)*'W1'!$D$10)/12*'Pilot Project Budget'!$E14*'Pilot Project Budget'!$G14,0),(IF(AND($S$4="Multi",$R$4="PY"),ROUND($E14*$G14*(1+M14)/12*'W1'!$D$5,0),(IF(AND($S$4&lt;&gt;"Multi",$R$4="FY"),ROUND(((1+$S$4)^('W1'!$B$20+1)*'W1'!$D$9+(1+$S$4)^('W1'!$B$20+2)*'W1'!$D$10)/12*'Pilot Project Budget'!$E14*'Pilot Project Budget'!$G14,0),ROUND($E14*$G14*(1+$S$4)/12*'W1'!$D$5,0))))))))</f>
        <v>0</v>
      </c>
      <c r="P14" s="187">
        <f>IF('W1'!$C$4='W1'!$D$4,(IF(AND($S$4="Multi",$R$4="FY"),ROUND(((1+$M14)^('W1'!$B$20+1)*'W1'!$E$9+(1+$M14)^('W1'!$B$20+2)*'W1'!$E$10)/12*'Pilot Project Budget'!$E14*'Pilot Project Budget'!H14,0),(IF(AND($S$4="Multi",$R$4="PY"),ROUND($E14*H14*((1+$M14)^2)/12*'W1'!$E$5,0),(IF(AND($S$4&lt;&gt;"Multi",$R$4="FY"),ROUND(((1+$S$4)^('W1'!$B$20+1)*'W1'!$E$9+(1+$S$4)^('W1'!$B$20+2)*'W1'!$E$10)/12*'Pilot Project Budget'!$E14*'Pilot Project Budget'!H14,0),ROUND($E14*H14*((1+$S$4)^2)/12*'W1'!$E$5,0))))))),(IF(AND($S$4="Multi",$R$4="FY"),ROUND(((1+$M14)^('W1'!$B$20+2)*'W1'!$E$9+(1+$M14)^('W1'!$B$20+3)*'W1'!$E$10)/12*'Pilot Project Budget'!$E14*'Pilot Project Budget'!H14,0),(IF(AND($S$4="Multi",$R$4="PY"),ROUND($E14*H14*((1+$M14)^2)/12*'W1'!$E$5,0),(IF(AND($S$4&lt;&gt;"Multi",$R$4="FY"),ROUND(((1+$S$4)^('W1'!$B$20+2)*'W1'!$E$9+(1+$S$4)^('W1'!$B$20+3)*'W1'!$E$10)/12*'Pilot Project Budget'!$E14*'Pilot Project Budget'!H14,0),ROUND($E14*H14*((1+$S$4)^2)/12*'W1'!$E$5,0))))))))</f>
        <v>0</v>
      </c>
      <c r="Q14" s="187">
        <f>IF('W1'!$C$4='W1'!$D$4,(IF(AND($S$4="Multi",$R$4="FY"),ROUND(((1+$M14)^('W1'!$B$20+2)*'W1'!$F$9+(1+$M14)^('W1'!$B$20+3)*'W1'!$F$10)/12*'Pilot Project Budget'!$E14*'Pilot Project Budget'!$I14,0),(IF(AND($S$4="Multi",$R$4="PY"),ROUND($E14*$I14*((1+$M14)^3)/12*'W1'!$F$5,0),(IF(AND($S$4&lt;&gt;"Multi",$R$4="FY"),ROUND(((1+$S$4)^('W1'!$B$20+2)*'W1'!$F$9+(1+$S$4)^('W1'!$B$20+3)*'W1'!$F$10)/12*'Pilot Project Budget'!$E14*'Pilot Project Budget'!$I14,0),ROUND($E14*$I14*((1+$S$4)^3)/12*'W1'!$F$5,0))))))),(IF(AND($S$4="Multi",$R$4="FY"),ROUND(((1+$M14)^('W1'!$B$20+3)*'W1'!$F$9+(1+$M14)^('W1'!$B$20+4)*'W1'!$F$10)/12*'Pilot Project Budget'!$E14*'Pilot Project Budget'!$I14,0),(IF(AND($S$4="Multi",$R$4="PY"),ROUND($E14*$I14*((1+$M14)^3)/12*'W1'!$F$5,0),(IF(AND($S$4&lt;&gt;"Multi",$R$4="FY"),ROUND(((1+$S$4)^('W1'!$B$20+3)*'W1'!$F$9+(1+$S$4)^('W1'!$B$20+4)*'W1'!$F$10)/12*'Pilot Project Budget'!$E14*'Pilot Project Budget'!$I14,0),ROUND($E14*$I14*((1+$S$4)^3)/12*'W1'!$F$5,0))))))))</f>
        <v>0</v>
      </c>
      <c r="R14" s="187">
        <f>IF('W1'!$C$4='W1'!$D$4,(IF(AND($S$4="Multi",$R$4="FY"),ROUND(((1+$M14)^('W1'!$B$20+3)*'W1'!$G$9+(1+$M14)^('W1'!$B$20+4)*'W1'!$G$10)/12*'Pilot Project Budget'!$E14*'Pilot Project Budget'!$J14,0),(IF(AND($S$4="Multi",$R$4="PY"),ROUND($E14*$J14*((1+$M14)^4)/12*'W1'!$G$5,0),(IF(AND($S$4&lt;&gt;"Multi",$R$4="FY"),ROUND(((1+$S$4)^('W1'!$B$20+3)*'W1'!$G$9+(1+$S$4)^('W1'!$B$20+4)*'W1'!$G$10)/12*'Pilot Project Budget'!$E14*'Pilot Project Budget'!$J14,0),ROUND($E14*$J14*((1+$S$4)^4)/12*'W1'!$G$5,0))))))),(IF(AND($S$4="Multi",$R$4="FY"),ROUND(((1+$M14)^('W1'!$B$20+4)*'W1'!$G$9+(1+$M14)^('W1'!$B$20+5)*'W1'!$G$10)/12*'Pilot Project Budget'!$E14*'Pilot Project Budget'!$J14,0),(IF(AND($S$4="Multi",$R$4="PY"),ROUND($E14*$J14*((1+$M14)^4)/12*'W1'!$G$5,0),(IF(AND($S$4&lt;&gt;"Multi",$R$4="FY"),ROUND(((1+$S$4)^('W1'!$B$20+4)*'W1'!$G$9+(1+$S$4)^('W1'!$B$20+5)*'W1'!$G$10)/12*'Pilot Project Budget'!$E14*'Pilot Project Budget'!$J14,0),ROUND($E14*$J14*((1+$S$4)^4)/12*'W1'!$G$5,0))))))))</f>
        <v>0</v>
      </c>
      <c r="S14" s="188">
        <f t="shared" si="0"/>
        <v>0</v>
      </c>
      <c r="T14" s="246"/>
      <c r="U14" s="246"/>
      <c r="V14" s="246"/>
      <c r="W14" s="246"/>
      <c r="X14" s="246"/>
      <c r="Y14" s="247"/>
      <c r="Z14" s="247"/>
      <c r="AA14" s="247"/>
      <c r="AB14" s="247"/>
      <c r="AC14" s="24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idden="1" x14ac:dyDescent="0.2">
      <c r="A15" s="192">
        <v>8</v>
      </c>
      <c r="B15" s="193"/>
      <c r="C15" s="193"/>
      <c r="D15" s="194"/>
      <c r="E15" s="195"/>
      <c r="F15" s="221"/>
      <c r="G15" s="221"/>
      <c r="H15" s="221"/>
      <c r="I15" s="221"/>
      <c r="J15" s="221"/>
      <c r="K15" s="190" t="s">
        <v>176</v>
      </c>
      <c r="L15" s="190">
        <v>12</v>
      </c>
      <c r="M15" s="191">
        <v>0.03</v>
      </c>
      <c r="N15" s="187">
        <f>IF(AND($S$4="Multi",$R$4="FY"),ROUND(((1+$M15)^'W1'!$B$20*'W1'!$C$9+(1+$M15)^('W1'!$B$20+1)*'W1'!$C$10)/12*'Pilot Project Budget'!$E15*'Pilot Project Budget'!$F15,0),(IF(AND($S$4="Multi",$R$4="PY"),ROUND(E15*F15/12*'W1'!$C$5,0),(IF(AND($S$4&lt;&gt;"Multi",$R$4="FY"),ROUND(((1+$S$4)^'W1'!$B$20*'W1'!$C$9+(1+$S$4)^('W1'!$B$20+1)*'W1'!$C$10)/12*'Pilot Project Budget'!$E15*'Pilot Project Budget'!$F15,0),ROUND($E15*$F15/12*'W1'!$C$5,0))))))</f>
        <v>0</v>
      </c>
      <c r="O15" s="187">
        <f>IF('W1'!$C$4='W1'!$D$4,(IF(AND($S$4="Multi",$R$4="FY"),ROUND(((1+$M15)^('W1'!$B$20)*'W1'!$D$9+(1+$M15)^('W1'!$B$20+1)*'W1'!$D$10)/12*'Pilot Project Budget'!$E15*'Pilot Project Budget'!$G15,0),(IF(AND($S$4="Multi",$R$4="PY"),ROUND($E15*$G15*(1+M15)/12*'W1'!$D$5,0),(IF(AND($S$4&lt;&gt;"Multi",$R$4="FY"),ROUND(((1+$S$4)^('W1'!$B$20)*'W1'!$D$9+(1+$S$4)^('W1'!$B$20+1)*'W1'!$D$10)/12*'Pilot Project Budget'!$E15*'Pilot Project Budget'!$G15,0),ROUND($E15*$G15*(1+$S$4)/12*'W1'!$D$5,0))))))),(IF(AND($S$4="Multi",$R$4="FY"),ROUND(((1+$M15)^('W1'!$B$20+1)*'W1'!$D$9+(1+$M15)^('W1'!$B$20+2)*'W1'!$D$10)/12*'Pilot Project Budget'!$E15*'Pilot Project Budget'!$G15,0),(IF(AND($S$4="Multi",$R$4="PY"),ROUND($E15*$G15*(1+M15)/12*'W1'!$D$5,0),(IF(AND($S$4&lt;&gt;"Multi",$R$4="FY"),ROUND(((1+$S$4)^('W1'!$B$20+1)*'W1'!$D$9+(1+$S$4)^('W1'!$B$20+2)*'W1'!$D$10)/12*'Pilot Project Budget'!$E15*'Pilot Project Budget'!$G15,0),ROUND($E15*$G15*(1+$S$4)/12*'W1'!$D$5,0))))))))</f>
        <v>0</v>
      </c>
      <c r="P15" s="187">
        <f>IF('W1'!$C$4='W1'!$D$4,(IF(AND($S$4="Multi",$R$4="FY"),ROUND(((1+$M15)^('W1'!$B$20+1)*'W1'!$E$9+(1+$M15)^('W1'!$B$20+2)*'W1'!$E$10)/12*'Pilot Project Budget'!$E15*'Pilot Project Budget'!H15,0),(IF(AND($S$4="Multi",$R$4="PY"),ROUND($E15*H15*((1+$M15)^2)/12*'W1'!$E$5,0),(IF(AND($S$4&lt;&gt;"Multi",$R$4="FY"),ROUND(((1+$S$4)^('W1'!$B$20+1)*'W1'!$E$9+(1+$S$4)^('W1'!$B$20+2)*'W1'!$E$10)/12*'Pilot Project Budget'!$E15*'Pilot Project Budget'!H15,0),ROUND($E15*H15*((1+$S$4)^2)/12*'W1'!$E$5,0))))))),(IF(AND($S$4="Multi",$R$4="FY"),ROUND(((1+$M15)^('W1'!$B$20+2)*'W1'!$E$9+(1+$M15)^('W1'!$B$20+3)*'W1'!$E$10)/12*'Pilot Project Budget'!$E15*'Pilot Project Budget'!H15,0),(IF(AND($S$4="Multi",$R$4="PY"),ROUND($E15*H15*((1+$M15)^2)/12*'W1'!$E$5,0),(IF(AND($S$4&lt;&gt;"Multi",$R$4="FY"),ROUND(((1+$S$4)^('W1'!$B$20+2)*'W1'!$E$9+(1+$S$4)^('W1'!$B$20+3)*'W1'!$E$10)/12*'Pilot Project Budget'!$E15*'Pilot Project Budget'!H15,0),ROUND($E15*H15*((1+$S$4)^2)/12*'W1'!$E$5,0))))))))</f>
        <v>0</v>
      </c>
      <c r="Q15" s="187">
        <f>IF('W1'!$C$4='W1'!$D$4,(IF(AND($S$4="Multi",$R$4="FY"),ROUND(((1+$M15)^('W1'!$B$20+2)*'W1'!$F$9+(1+$M15)^('W1'!$B$20+3)*'W1'!$F$10)/12*'Pilot Project Budget'!$E15*'Pilot Project Budget'!$I15,0),(IF(AND($S$4="Multi",$R$4="PY"),ROUND($E15*$I15*((1+$M15)^3)/12*'W1'!$F$5,0),(IF(AND($S$4&lt;&gt;"Multi",$R$4="FY"),ROUND(((1+$S$4)^('W1'!$B$20+2)*'W1'!$F$9+(1+$S$4)^('W1'!$B$20+3)*'W1'!$F$10)/12*'Pilot Project Budget'!$E15*'Pilot Project Budget'!$I15,0),ROUND($E15*$I15*((1+$S$4)^3)/12*'W1'!$F$5,0))))))),(IF(AND($S$4="Multi",$R$4="FY"),ROUND(((1+$M15)^('W1'!$B$20+3)*'W1'!$F$9+(1+$M15)^('W1'!$B$20+4)*'W1'!$F$10)/12*'Pilot Project Budget'!$E15*'Pilot Project Budget'!$I15,0),(IF(AND($S$4="Multi",$R$4="PY"),ROUND($E15*$I15*((1+$M15)^3)/12*'W1'!$F$5,0),(IF(AND($S$4&lt;&gt;"Multi",$R$4="FY"),ROUND(((1+$S$4)^('W1'!$B$20+3)*'W1'!$F$9+(1+$S$4)^('W1'!$B$20+4)*'W1'!$F$10)/12*'Pilot Project Budget'!$E15*'Pilot Project Budget'!$I15,0),ROUND($E15*$I15*((1+$S$4)^3)/12*'W1'!$F$5,0))))))))</f>
        <v>0</v>
      </c>
      <c r="R15" s="187">
        <f>IF('W1'!$C$4='W1'!$D$4,(IF(AND($S$4="Multi",$R$4="FY"),ROUND(((1+$M15)^('W1'!$B$20+3)*'W1'!$G$9+(1+$M15)^('W1'!$B$20+4)*'W1'!$G$10)/12*'Pilot Project Budget'!$E15*'Pilot Project Budget'!$J15,0),(IF(AND($S$4="Multi",$R$4="PY"),ROUND($E15*$J15*((1+$M15)^4)/12*'W1'!$G$5,0),(IF(AND($S$4&lt;&gt;"Multi",$R$4="FY"),ROUND(((1+$S$4)^('W1'!$B$20+3)*'W1'!$G$9+(1+$S$4)^('W1'!$B$20+4)*'W1'!$G$10)/12*'Pilot Project Budget'!$E15*'Pilot Project Budget'!$J15,0),ROUND($E15*$J15*((1+$S$4)^4)/12*'W1'!$G$5,0))))))),(IF(AND($S$4="Multi",$R$4="FY"),ROUND(((1+$M15)^('W1'!$B$20+4)*'W1'!$G$9+(1+$M15)^('W1'!$B$20+5)*'W1'!$G$10)/12*'Pilot Project Budget'!$E15*'Pilot Project Budget'!$J15,0),(IF(AND($S$4="Multi",$R$4="PY"),ROUND($E15*$J15*((1+$M15)^4)/12*'W1'!$G$5,0),(IF(AND($S$4&lt;&gt;"Multi",$R$4="FY"),ROUND(((1+$S$4)^('W1'!$B$20+4)*'W1'!$G$9+(1+$S$4)^('W1'!$B$20+5)*'W1'!$G$10)/12*'Pilot Project Budget'!$E15*'Pilot Project Budget'!$J15,0),ROUND($E15*$J15*((1+$S$4)^4)/12*'W1'!$G$5,0))))))))</f>
        <v>0</v>
      </c>
      <c r="S15" s="188">
        <f t="shared" si="0"/>
        <v>0</v>
      </c>
      <c r="T15" s="246"/>
      <c r="U15" s="246"/>
      <c r="V15" s="246"/>
      <c r="W15" s="246"/>
      <c r="X15" s="246"/>
      <c r="Y15" s="247"/>
      <c r="Z15" s="247"/>
      <c r="AA15" s="247"/>
      <c r="AB15" s="247"/>
      <c r="AC15" s="24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hidden="1" x14ac:dyDescent="0.2">
      <c r="A16" s="192">
        <v>9</v>
      </c>
      <c r="B16" s="193"/>
      <c r="C16" s="193"/>
      <c r="D16" s="194"/>
      <c r="E16" s="195"/>
      <c r="F16" s="221"/>
      <c r="G16" s="221"/>
      <c r="H16" s="221"/>
      <c r="I16" s="221"/>
      <c r="J16" s="221"/>
      <c r="K16" s="190" t="s">
        <v>176</v>
      </c>
      <c r="L16" s="190">
        <v>12</v>
      </c>
      <c r="M16" s="191">
        <v>0.03</v>
      </c>
      <c r="N16" s="187">
        <f>IF(AND($S$4="Multi",$R$4="FY"),ROUND(((1+$M16)^'W1'!$B$20*'W1'!$C$9+(1+$M16)^('W1'!$B$20+1)*'W1'!$C$10)/12*'Pilot Project Budget'!$E16*'Pilot Project Budget'!$F16,0),(IF(AND($S$4="Multi",$R$4="PY"),ROUND(E16*F16/12*'W1'!$C$5,0),(IF(AND($S$4&lt;&gt;"Multi",$R$4="FY"),ROUND(((1+$S$4)^'W1'!$B$20*'W1'!$C$9+(1+$S$4)^('W1'!$B$20+1)*'W1'!$C$10)/12*'Pilot Project Budget'!$E16*'Pilot Project Budget'!$F16,0),ROUND($E16*$F16/12*'W1'!$C$5,0))))))</f>
        <v>0</v>
      </c>
      <c r="O16" s="187">
        <f>IF('W1'!$C$4='W1'!$D$4,(IF(AND($S$4="Multi",$R$4="FY"),ROUND(((1+$M16)^('W1'!$B$20)*'W1'!$D$9+(1+$M16)^('W1'!$B$20+1)*'W1'!$D$10)/12*'Pilot Project Budget'!$E16*'Pilot Project Budget'!$G16,0),(IF(AND($S$4="Multi",$R$4="PY"),ROUND($E16*$G16*(1+M16)/12*'W1'!$D$5,0),(IF(AND($S$4&lt;&gt;"Multi",$R$4="FY"),ROUND(((1+$S$4)^('W1'!$B$20)*'W1'!$D$9+(1+$S$4)^('W1'!$B$20+1)*'W1'!$D$10)/12*'Pilot Project Budget'!$E16*'Pilot Project Budget'!$G16,0),ROUND($E16*$G16*(1+$S$4)/12*'W1'!$D$5,0))))))),(IF(AND($S$4="Multi",$R$4="FY"),ROUND(((1+$M16)^('W1'!$B$20+1)*'W1'!$D$9+(1+$M16)^('W1'!$B$20+2)*'W1'!$D$10)/12*'Pilot Project Budget'!$E16*'Pilot Project Budget'!$G16,0),(IF(AND($S$4="Multi",$R$4="PY"),ROUND($E16*$G16*(1+M16)/12*'W1'!$D$5,0),(IF(AND($S$4&lt;&gt;"Multi",$R$4="FY"),ROUND(((1+$S$4)^('W1'!$B$20+1)*'W1'!$D$9+(1+$S$4)^('W1'!$B$20+2)*'W1'!$D$10)/12*'Pilot Project Budget'!$E16*'Pilot Project Budget'!$G16,0),ROUND($E16*$G16*(1+$S$4)/12*'W1'!$D$5,0))))))))</f>
        <v>0</v>
      </c>
      <c r="P16" s="187">
        <f>IF('W1'!$C$4='W1'!$D$4,(IF(AND($S$4="Multi",$R$4="FY"),ROUND(((1+$M16)^('W1'!$B$20+1)*'W1'!$E$9+(1+$M16)^('W1'!$B$20+2)*'W1'!$E$10)/12*'Pilot Project Budget'!$E16*'Pilot Project Budget'!H16,0),(IF(AND($S$4="Multi",$R$4="PY"),ROUND($E16*H16*((1+$M16)^2)/12*'W1'!$E$5,0),(IF(AND($S$4&lt;&gt;"Multi",$R$4="FY"),ROUND(((1+$S$4)^('W1'!$B$20+1)*'W1'!$E$9+(1+$S$4)^('W1'!$B$20+2)*'W1'!$E$10)/12*'Pilot Project Budget'!$E16*'Pilot Project Budget'!H16,0),ROUND($E16*H16*((1+$S$4)^2)/12*'W1'!$E$5,0))))))),(IF(AND($S$4="Multi",$R$4="FY"),ROUND(((1+$M16)^('W1'!$B$20+2)*'W1'!$E$9+(1+$M16)^('W1'!$B$20+3)*'W1'!$E$10)/12*'Pilot Project Budget'!$E16*'Pilot Project Budget'!H16,0),(IF(AND($S$4="Multi",$R$4="PY"),ROUND($E16*H16*((1+$M16)^2)/12*'W1'!$E$5,0),(IF(AND($S$4&lt;&gt;"Multi",$R$4="FY"),ROUND(((1+$S$4)^('W1'!$B$20+2)*'W1'!$E$9+(1+$S$4)^('W1'!$B$20+3)*'W1'!$E$10)/12*'Pilot Project Budget'!$E16*'Pilot Project Budget'!H16,0),ROUND($E16*H16*((1+$S$4)^2)/12*'W1'!$E$5,0))))))))</f>
        <v>0</v>
      </c>
      <c r="Q16" s="187">
        <f>IF('W1'!$C$4='W1'!$D$4,(IF(AND($S$4="Multi",$R$4="FY"),ROUND(((1+$M16)^('W1'!$B$20+2)*'W1'!$F$9+(1+$M16)^('W1'!$B$20+3)*'W1'!$F$10)/12*'Pilot Project Budget'!$E16*'Pilot Project Budget'!$I16,0),(IF(AND($S$4="Multi",$R$4="PY"),ROUND($E16*$I16*((1+$M16)^3)/12*'W1'!$F$5,0),(IF(AND($S$4&lt;&gt;"Multi",$R$4="FY"),ROUND(((1+$S$4)^('W1'!$B$20+2)*'W1'!$F$9+(1+$S$4)^('W1'!$B$20+3)*'W1'!$F$10)/12*'Pilot Project Budget'!$E16*'Pilot Project Budget'!$I16,0),ROUND($E16*$I16*((1+$S$4)^3)/12*'W1'!$F$5,0))))))),(IF(AND($S$4="Multi",$R$4="FY"),ROUND(((1+$M16)^('W1'!$B$20+3)*'W1'!$F$9+(1+$M16)^('W1'!$B$20+4)*'W1'!$F$10)/12*'Pilot Project Budget'!$E16*'Pilot Project Budget'!$I16,0),(IF(AND($S$4="Multi",$R$4="PY"),ROUND($E16*$I16*((1+$M16)^3)/12*'W1'!$F$5,0),(IF(AND($S$4&lt;&gt;"Multi",$R$4="FY"),ROUND(((1+$S$4)^('W1'!$B$20+3)*'W1'!$F$9+(1+$S$4)^('W1'!$B$20+4)*'W1'!$F$10)/12*'Pilot Project Budget'!$E16*'Pilot Project Budget'!$I16,0),ROUND($E16*$I16*((1+$S$4)^3)/12*'W1'!$F$5,0))))))))</f>
        <v>0</v>
      </c>
      <c r="R16" s="187">
        <f>IF('W1'!$C$4='W1'!$D$4,(IF(AND($S$4="Multi",$R$4="FY"),ROUND(((1+$M16)^('W1'!$B$20+3)*'W1'!$G$9+(1+$M16)^('W1'!$B$20+4)*'W1'!$G$10)/12*'Pilot Project Budget'!$E16*'Pilot Project Budget'!$J16,0),(IF(AND($S$4="Multi",$R$4="PY"),ROUND($E16*$J16*((1+$M16)^4)/12*'W1'!$G$5,0),(IF(AND($S$4&lt;&gt;"Multi",$R$4="FY"),ROUND(((1+$S$4)^('W1'!$B$20+3)*'W1'!$G$9+(1+$S$4)^('W1'!$B$20+4)*'W1'!$G$10)/12*'Pilot Project Budget'!$E16*'Pilot Project Budget'!$J16,0),ROUND($E16*$J16*((1+$S$4)^4)/12*'W1'!$G$5,0))))))),(IF(AND($S$4="Multi",$R$4="FY"),ROUND(((1+$M16)^('W1'!$B$20+4)*'W1'!$G$9+(1+$M16)^('W1'!$B$20+5)*'W1'!$G$10)/12*'Pilot Project Budget'!$E16*'Pilot Project Budget'!$J16,0),(IF(AND($S$4="Multi",$R$4="PY"),ROUND($E16*$J16*((1+$M16)^4)/12*'W1'!$G$5,0),(IF(AND($S$4&lt;&gt;"Multi",$R$4="FY"),ROUND(((1+$S$4)^('W1'!$B$20+4)*'W1'!$G$9+(1+$S$4)^('W1'!$B$20+5)*'W1'!$G$10)/12*'Pilot Project Budget'!$E16*'Pilot Project Budget'!$J16,0),ROUND($E16*$J16*((1+$S$4)^4)/12*'W1'!$G$5,0))))))))</f>
        <v>0</v>
      </c>
      <c r="S16" s="188">
        <f t="shared" si="0"/>
        <v>0</v>
      </c>
      <c r="T16" s="246"/>
      <c r="U16" s="246"/>
      <c r="V16" s="246"/>
      <c r="W16" s="246"/>
      <c r="X16" s="246"/>
      <c r="Y16" s="247"/>
      <c r="Z16" s="247"/>
      <c r="AA16" s="247"/>
      <c r="AB16" s="247"/>
      <c r="AC16" s="24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hidden="1" x14ac:dyDescent="0.2">
      <c r="A17" s="192">
        <v>10</v>
      </c>
      <c r="B17" s="193"/>
      <c r="C17" s="193"/>
      <c r="D17" s="194"/>
      <c r="E17" s="195"/>
      <c r="F17" s="221"/>
      <c r="G17" s="221"/>
      <c r="H17" s="221"/>
      <c r="I17" s="221"/>
      <c r="J17" s="221"/>
      <c r="K17" s="190" t="s">
        <v>176</v>
      </c>
      <c r="L17" s="190">
        <v>12</v>
      </c>
      <c r="M17" s="191">
        <v>0.03</v>
      </c>
      <c r="N17" s="187">
        <f>IF(AND($S$4="Multi",$R$4="FY"),ROUND(((1+$M17)^'W1'!$B$20*'W1'!$C$9+(1+$M17)^('W1'!$B$20+1)*'W1'!$C$10)/12*'Pilot Project Budget'!$E17*'Pilot Project Budget'!$F17,0),(IF(AND($S$4="Multi",$R$4="PY"),ROUND(E17*F17/12*'W1'!$C$5,0),(IF(AND($S$4&lt;&gt;"Multi",$R$4="FY"),ROUND(((1+$S$4)^'W1'!$B$20*'W1'!$C$9+(1+$S$4)^('W1'!$B$20+1)*'W1'!$C$10)/12*'Pilot Project Budget'!$E17*'Pilot Project Budget'!$F17,0),ROUND($E17*$F17/12*'W1'!$C$5,0))))))</f>
        <v>0</v>
      </c>
      <c r="O17" s="187">
        <f>IF('W1'!$C$4='W1'!$D$4,(IF(AND($S$4="Multi",$R$4="FY"),ROUND(((1+$M17)^('W1'!$B$20)*'W1'!$D$9+(1+$M17)^('W1'!$B$20+1)*'W1'!$D$10)/12*'Pilot Project Budget'!$E17*'Pilot Project Budget'!$G17,0),(IF(AND($S$4="Multi",$R$4="PY"),ROUND($E17*$G17*(1+M17)/12*'W1'!$D$5,0),(IF(AND($S$4&lt;&gt;"Multi",$R$4="FY"),ROUND(((1+$S$4)^('W1'!$B$20)*'W1'!$D$9+(1+$S$4)^('W1'!$B$20+1)*'W1'!$D$10)/12*'Pilot Project Budget'!$E17*'Pilot Project Budget'!$G17,0),ROUND($E17*$G17*(1+$S$4)/12*'W1'!$D$5,0))))))),(IF(AND($S$4="Multi",$R$4="FY"),ROUND(((1+$M17)^('W1'!$B$20+1)*'W1'!$D$9+(1+$M17)^('W1'!$B$20+2)*'W1'!$D$10)/12*'Pilot Project Budget'!$E17*'Pilot Project Budget'!$G17,0),(IF(AND($S$4="Multi",$R$4="PY"),ROUND($E17*$G17*(1+M17)/12*'W1'!$D$5,0),(IF(AND($S$4&lt;&gt;"Multi",$R$4="FY"),ROUND(((1+$S$4)^('W1'!$B$20+1)*'W1'!$D$9+(1+$S$4)^('W1'!$B$20+2)*'W1'!$D$10)/12*'Pilot Project Budget'!$E17*'Pilot Project Budget'!$G17,0),ROUND($E17*$G17*(1+$S$4)/12*'W1'!$D$5,0))))))))</f>
        <v>0</v>
      </c>
      <c r="P17" s="187">
        <f>IF('W1'!$C$4='W1'!$D$4,(IF(AND($S$4="Multi",$R$4="FY"),ROUND(((1+$M17)^('W1'!$B$20+1)*'W1'!$E$9+(1+$M17)^('W1'!$B$20+2)*'W1'!$E$10)/12*'Pilot Project Budget'!$E17*'Pilot Project Budget'!H17,0),(IF(AND($S$4="Multi",$R$4="PY"),ROUND($E17*H17*((1+$M17)^2)/12*'W1'!$E$5,0),(IF(AND($S$4&lt;&gt;"Multi",$R$4="FY"),ROUND(((1+$S$4)^('W1'!$B$20+1)*'W1'!$E$9+(1+$S$4)^('W1'!$B$20+2)*'W1'!$E$10)/12*'Pilot Project Budget'!$E17*'Pilot Project Budget'!H17,0),ROUND($E17*H17*((1+$S$4)^2)/12*'W1'!$E$5,0))))))),(IF(AND($S$4="Multi",$R$4="FY"),ROUND(((1+$M17)^('W1'!$B$20+2)*'W1'!$E$9+(1+$M17)^('W1'!$B$20+3)*'W1'!$E$10)/12*'Pilot Project Budget'!$E17*'Pilot Project Budget'!H17,0),(IF(AND($S$4="Multi",$R$4="PY"),ROUND($E17*H17*((1+$M17)^2)/12*'W1'!$E$5,0),(IF(AND($S$4&lt;&gt;"Multi",$R$4="FY"),ROUND(((1+$S$4)^('W1'!$B$20+2)*'W1'!$E$9+(1+$S$4)^('W1'!$B$20+3)*'W1'!$E$10)/12*'Pilot Project Budget'!$E17*'Pilot Project Budget'!H17,0),ROUND($E17*H17*((1+$S$4)^2)/12*'W1'!$E$5,0))))))))</f>
        <v>0</v>
      </c>
      <c r="Q17" s="187">
        <f>IF('W1'!$C$4='W1'!$D$4,(IF(AND($S$4="Multi",$R$4="FY"),ROUND(((1+$M17)^('W1'!$B$20+2)*'W1'!$F$9+(1+$M17)^('W1'!$B$20+3)*'W1'!$F$10)/12*'Pilot Project Budget'!$E17*'Pilot Project Budget'!$I17,0),(IF(AND($S$4="Multi",$R$4="PY"),ROUND($E17*$I17*((1+$M17)^3)/12*'W1'!$F$5,0),(IF(AND($S$4&lt;&gt;"Multi",$R$4="FY"),ROUND(((1+$S$4)^('W1'!$B$20+2)*'W1'!$F$9+(1+$S$4)^('W1'!$B$20+3)*'W1'!$F$10)/12*'Pilot Project Budget'!$E17*'Pilot Project Budget'!$I17,0),ROUND($E17*$I17*((1+$S$4)^3)/12*'W1'!$F$5,0))))))),(IF(AND($S$4="Multi",$R$4="FY"),ROUND(((1+$M17)^('W1'!$B$20+3)*'W1'!$F$9+(1+$M17)^('W1'!$B$20+4)*'W1'!$F$10)/12*'Pilot Project Budget'!$E17*'Pilot Project Budget'!$I17,0),(IF(AND($S$4="Multi",$R$4="PY"),ROUND($E17*$I17*((1+$M17)^3)/12*'W1'!$F$5,0),(IF(AND($S$4&lt;&gt;"Multi",$R$4="FY"),ROUND(((1+$S$4)^('W1'!$B$20+3)*'W1'!$F$9+(1+$S$4)^('W1'!$B$20+4)*'W1'!$F$10)/12*'Pilot Project Budget'!$E17*'Pilot Project Budget'!$I17,0),ROUND($E17*$I17*((1+$S$4)^3)/12*'W1'!$F$5,0))))))))</f>
        <v>0</v>
      </c>
      <c r="R17" s="187">
        <f>IF('W1'!$C$4='W1'!$D$4,(IF(AND($S$4="Multi",$R$4="FY"),ROUND(((1+$M17)^('W1'!$B$20+3)*'W1'!$G$9+(1+$M17)^('W1'!$B$20+4)*'W1'!$G$10)/12*'Pilot Project Budget'!$E17*'Pilot Project Budget'!$J17,0),(IF(AND($S$4="Multi",$R$4="PY"),ROUND($E17*$J17*((1+$M17)^4)/12*'W1'!$G$5,0),(IF(AND($S$4&lt;&gt;"Multi",$R$4="FY"),ROUND(((1+$S$4)^('W1'!$B$20+3)*'W1'!$G$9+(1+$S$4)^('W1'!$B$20+4)*'W1'!$G$10)/12*'Pilot Project Budget'!$E17*'Pilot Project Budget'!$J17,0),ROUND($E17*$J17*((1+$S$4)^4)/12*'W1'!$G$5,0))))))),(IF(AND($S$4="Multi",$R$4="FY"),ROUND(((1+$M17)^('W1'!$B$20+4)*'W1'!$G$9+(1+$M17)^('W1'!$B$20+5)*'W1'!$G$10)/12*'Pilot Project Budget'!$E17*'Pilot Project Budget'!$J17,0),(IF(AND($S$4="Multi",$R$4="PY"),ROUND($E17*$J17*((1+$M17)^4)/12*'W1'!$G$5,0),(IF(AND($S$4&lt;&gt;"Multi",$R$4="FY"),ROUND(((1+$S$4)^('W1'!$B$20+4)*'W1'!$G$9+(1+$S$4)^('W1'!$B$20+5)*'W1'!$G$10)/12*'Pilot Project Budget'!$E17*'Pilot Project Budget'!$J17,0),ROUND($E17*$J17*((1+$S$4)^4)/12*'W1'!$G$5,0))))))))</f>
        <v>0</v>
      </c>
      <c r="S17" s="188">
        <f t="shared" si="0"/>
        <v>0</v>
      </c>
      <c r="T17" s="246"/>
      <c r="U17" s="246"/>
      <c r="V17" s="246"/>
      <c r="W17" s="246"/>
      <c r="X17" s="246"/>
      <c r="Y17" s="247"/>
      <c r="Z17" s="247"/>
      <c r="AA17" s="247"/>
      <c r="AB17" s="247"/>
      <c r="AC17" s="24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hidden="1" x14ac:dyDescent="0.2">
      <c r="A18" s="192">
        <v>11</v>
      </c>
      <c r="B18" s="193"/>
      <c r="C18" s="193"/>
      <c r="D18" s="194"/>
      <c r="E18" s="195"/>
      <c r="F18" s="221"/>
      <c r="G18" s="221"/>
      <c r="H18" s="221"/>
      <c r="I18" s="221"/>
      <c r="J18" s="221"/>
      <c r="K18" s="190" t="s">
        <v>176</v>
      </c>
      <c r="L18" s="190">
        <v>12</v>
      </c>
      <c r="M18" s="191">
        <v>0.03</v>
      </c>
      <c r="N18" s="187">
        <f>IF(AND($S$4="Multi",$R$4="FY"),ROUND(((1+$M18)^'W1'!$B$20*'W1'!$C$9+(1+$M18)^('W1'!$B$20+1)*'W1'!$C$10)/12*'Pilot Project Budget'!$E18*'Pilot Project Budget'!$F18,0),(IF(AND($S$4="Multi",$R$4="PY"),ROUND(E18*F18/12*'W1'!$C$5,0),(IF(AND($S$4&lt;&gt;"Multi",$R$4="FY"),ROUND(((1+$S$4)^'W1'!$B$20*'W1'!$C$9+(1+$S$4)^('W1'!$B$20+1)*'W1'!$C$10)/12*'Pilot Project Budget'!$E18*'Pilot Project Budget'!$F18,0),ROUND($E18*$F18/12*'W1'!$C$5,0))))))</f>
        <v>0</v>
      </c>
      <c r="O18" s="187">
        <f>IF('W1'!$C$4='W1'!$D$4,(IF(AND($S$4="Multi",$R$4="FY"),ROUND(((1+$M18)^('W1'!$B$20)*'W1'!$D$9+(1+$M18)^('W1'!$B$20+1)*'W1'!$D$10)/12*'Pilot Project Budget'!$E18*'Pilot Project Budget'!$G18,0),(IF(AND($S$4="Multi",$R$4="PY"),ROUND($E18*$G18*(1+M18)/12*'W1'!$D$5,0),(IF(AND($S$4&lt;&gt;"Multi",$R$4="FY"),ROUND(((1+$S$4)^('W1'!$B$20)*'W1'!$D$9+(1+$S$4)^('W1'!$B$20+1)*'W1'!$D$10)/12*'Pilot Project Budget'!$E18*'Pilot Project Budget'!$G18,0),ROUND($E18*$G18*(1+$S$4)/12*'W1'!$D$5,0))))))),(IF(AND($S$4="Multi",$R$4="FY"),ROUND(((1+$M18)^('W1'!$B$20+1)*'W1'!$D$9+(1+$M18)^('W1'!$B$20+2)*'W1'!$D$10)/12*'Pilot Project Budget'!$E18*'Pilot Project Budget'!$G18,0),(IF(AND($S$4="Multi",$R$4="PY"),ROUND($E18*$G18*(1+M18)/12*'W1'!$D$5,0),(IF(AND($S$4&lt;&gt;"Multi",$R$4="FY"),ROUND(((1+$S$4)^('W1'!$B$20+1)*'W1'!$D$9+(1+$S$4)^('W1'!$B$20+2)*'W1'!$D$10)/12*'Pilot Project Budget'!$E18*'Pilot Project Budget'!$G18,0),ROUND($E18*$G18*(1+$S$4)/12*'W1'!$D$5,0))))))))</f>
        <v>0</v>
      </c>
      <c r="P18" s="187">
        <f>IF('W1'!$C$4='W1'!$D$4,(IF(AND($S$4="Multi",$R$4="FY"),ROUND(((1+$M18)^('W1'!$B$20+1)*'W1'!$E$9+(1+$M18)^('W1'!$B$20+2)*'W1'!$E$10)/12*'Pilot Project Budget'!$E18*'Pilot Project Budget'!H18,0),(IF(AND($S$4="Multi",$R$4="PY"),ROUND($E18*H18*((1+$M18)^2)/12*'W1'!$E$5,0),(IF(AND($S$4&lt;&gt;"Multi",$R$4="FY"),ROUND(((1+$S$4)^('W1'!$B$20+1)*'W1'!$E$9+(1+$S$4)^('W1'!$B$20+2)*'W1'!$E$10)/12*'Pilot Project Budget'!$E18*'Pilot Project Budget'!H18,0),ROUND($E18*H18*((1+$S$4)^2)/12*'W1'!$E$5,0))))))),(IF(AND($S$4="Multi",$R$4="FY"),ROUND(((1+$M18)^('W1'!$B$20+2)*'W1'!$E$9+(1+$M18)^('W1'!$B$20+3)*'W1'!$E$10)/12*'Pilot Project Budget'!$E18*'Pilot Project Budget'!H18,0),(IF(AND($S$4="Multi",$R$4="PY"),ROUND($E18*H18*((1+$M18)^2)/12*'W1'!$E$5,0),(IF(AND($S$4&lt;&gt;"Multi",$R$4="FY"),ROUND(((1+$S$4)^('W1'!$B$20+2)*'W1'!$E$9+(1+$S$4)^('W1'!$B$20+3)*'W1'!$E$10)/12*'Pilot Project Budget'!$E18*'Pilot Project Budget'!H18,0),ROUND($E18*H18*((1+$S$4)^2)/12*'W1'!$E$5,0))))))))</f>
        <v>0</v>
      </c>
      <c r="Q18" s="187">
        <f>IF('W1'!$C$4='W1'!$D$4,(IF(AND($S$4="Multi",$R$4="FY"),ROUND(((1+$M18)^('W1'!$B$20+2)*'W1'!$F$9+(1+$M18)^('W1'!$B$20+3)*'W1'!$F$10)/12*'Pilot Project Budget'!$E18*'Pilot Project Budget'!$I18,0),(IF(AND($S$4="Multi",$R$4="PY"),ROUND($E18*$I18*((1+$M18)^3)/12*'W1'!$F$5,0),(IF(AND($S$4&lt;&gt;"Multi",$R$4="FY"),ROUND(((1+$S$4)^('W1'!$B$20+2)*'W1'!$F$9+(1+$S$4)^('W1'!$B$20+3)*'W1'!$F$10)/12*'Pilot Project Budget'!$E18*'Pilot Project Budget'!$I18,0),ROUND($E18*$I18*((1+$S$4)^3)/12*'W1'!$F$5,0))))))),(IF(AND($S$4="Multi",$R$4="FY"),ROUND(((1+$M18)^('W1'!$B$20+3)*'W1'!$F$9+(1+$M18)^('W1'!$B$20+4)*'W1'!$F$10)/12*'Pilot Project Budget'!$E18*'Pilot Project Budget'!$I18,0),(IF(AND($S$4="Multi",$R$4="PY"),ROUND($E18*$I18*((1+$M18)^3)/12*'W1'!$F$5,0),(IF(AND($S$4&lt;&gt;"Multi",$R$4="FY"),ROUND(((1+$S$4)^('W1'!$B$20+3)*'W1'!$F$9+(1+$S$4)^('W1'!$B$20+4)*'W1'!$F$10)/12*'Pilot Project Budget'!$E18*'Pilot Project Budget'!$I18,0),ROUND($E18*$I18*((1+$S$4)^3)/12*'W1'!$F$5,0))))))))</f>
        <v>0</v>
      </c>
      <c r="R18" s="187">
        <f>IF('W1'!$C$4='W1'!$D$4,(IF(AND($S$4="Multi",$R$4="FY"),ROUND(((1+$M18)^('W1'!$B$20+3)*'W1'!$G$9+(1+$M18)^('W1'!$B$20+4)*'W1'!$G$10)/12*'Pilot Project Budget'!$E18*'Pilot Project Budget'!$J18,0),(IF(AND($S$4="Multi",$R$4="PY"),ROUND($E18*$J18*((1+$M18)^4)/12*'W1'!$G$5,0),(IF(AND($S$4&lt;&gt;"Multi",$R$4="FY"),ROUND(((1+$S$4)^('W1'!$B$20+3)*'W1'!$G$9+(1+$S$4)^('W1'!$B$20+4)*'W1'!$G$10)/12*'Pilot Project Budget'!$E18*'Pilot Project Budget'!$J18,0),ROUND($E18*$J18*((1+$S$4)^4)/12*'W1'!$G$5,0))))))),(IF(AND($S$4="Multi",$R$4="FY"),ROUND(((1+$M18)^('W1'!$B$20+4)*'W1'!$G$9+(1+$M18)^('W1'!$B$20+5)*'W1'!$G$10)/12*'Pilot Project Budget'!$E18*'Pilot Project Budget'!$J18,0),(IF(AND($S$4="Multi",$R$4="PY"),ROUND($E18*$J18*((1+$M18)^4)/12*'W1'!$G$5,0),(IF(AND($S$4&lt;&gt;"Multi",$R$4="FY"),ROUND(((1+$S$4)^('W1'!$B$20+4)*'W1'!$G$9+(1+$S$4)^('W1'!$B$20+5)*'W1'!$G$10)/12*'Pilot Project Budget'!$E18*'Pilot Project Budget'!$J18,0),ROUND($E18*$J18*((1+$S$4)^4)/12*'W1'!$G$5,0))))))))</f>
        <v>0</v>
      </c>
      <c r="S18" s="188">
        <f t="shared" si="0"/>
        <v>0</v>
      </c>
      <c r="T18" s="246"/>
      <c r="U18" s="246"/>
      <c r="V18" s="246"/>
      <c r="W18" s="246"/>
      <c r="X18" s="246"/>
      <c r="Y18" s="247"/>
      <c r="Z18" s="247"/>
      <c r="AA18" s="247"/>
      <c r="AB18" s="247"/>
      <c r="AC18" s="24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hidden="1" x14ac:dyDescent="0.2">
      <c r="A19" s="192">
        <v>12</v>
      </c>
      <c r="B19" s="193"/>
      <c r="C19" s="193"/>
      <c r="D19" s="194"/>
      <c r="E19" s="195"/>
      <c r="F19" s="221"/>
      <c r="G19" s="221"/>
      <c r="H19" s="221"/>
      <c r="I19" s="221"/>
      <c r="J19" s="221"/>
      <c r="K19" s="190" t="s">
        <v>176</v>
      </c>
      <c r="L19" s="190">
        <v>12</v>
      </c>
      <c r="M19" s="191">
        <v>0.03</v>
      </c>
      <c r="N19" s="187">
        <f>IF(AND($S$4="Multi",$R$4="FY"),ROUND(((1+$M19)^'W1'!$B$20*'W1'!$C$9+(1+$M19)^('W1'!$B$20+1)*'W1'!$C$10)/12*'Pilot Project Budget'!$E19*'Pilot Project Budget'!$F19,0),(IF(AND($S$4="Multi",$R$4="PY"),ROUND(E19*F19/12*'W1'!$C$5,0),(IF(AND($S$4&lt;&gt;"Multi",$R$4="FY"),ROUND(((1+$S$4)^'W1'!$B$20*'W1'!$C$9+(1+$S$4)^('W1'!$B$20+1)*'W1'!$C$10)/12*'Pilot Project Budget'!$E19*'Pilot Project Budget'!$F19,0),ROUND($E19*$F19/12*'W1'!$C$5,0))))))</f>
        <v>0</v>
      </c>
      <c r="O19" s="187">
        <f>IF('W1'!$C$4='W1'!$D$4,(IF(AND($S$4="Multi",$R$4="FY"),ROUND(((1+$M19)^('W1'!$B$20)*'W1'!$D$9+(1+$M19)^('W1'!$B$20+1)*'W1'!$D$10)/12*'Pilot Project Budget'!$E19*'Pilot Project Budget'!$G19,0),(IF(AND($S$4="Multi",$R$4="PY"),ROUND($E19*$G19*(1+M19)/12*'W1'!$D$5,0),(IF(AND($S$4&lt;&gt;"Multi",$R$4="FY"),ROUND(((1+$S$4)^('W1'!$B$20)*'W1'!$D$9+(1+$S$4)^('W1'!$B$20+1)*'W1'!$D$10)/12*'Pilot Project Budget'!$E19*'Pilot Project Budget'!$G19,0),ROUND($E19*$G19*(1+$S$4)/12*'W1'!$D$5,0))))))),(IF(AND($S$4="Multi",$R$4="FY"),ROUND(((1+$M19)^('W1'!$B$20+1)*'W1'!$D$9+(1+$M19)^('W1'!$B$20+2)*'W1'!$D$10)/12*'Pilot Project Budget'!$E19*'Pilot Project Budget'!$G19,0),(IF(AND($S$4="Multi",$R$4="PY"),ROUND($E19*$G19*(1+M19)/12*'W1'!$D$5,0),(IF(AND($S$4&lt;&gt;"Multi",$R$4="FY"),ROUND(((1+$S$4)^('W1'!$B$20+1)*'W1'!$D$9+(1+$S$4)^('W1'!$B$20+2)*'W1'!$D$10)/12*'Pilot Project Budget'!$E19*'Pilot Project Budget'!$G19,0),ROUND($E19*$G19*(1+$S$4)/12*'W1'!$D$5,0))))))))</f>
        <v>0</v>
      </c>
      <c r="P19" s="187">
        <f>IF('W1'!$C$4='W1'!$D$4,(IF(AND($S$4="Multi",$R$4="FY"),ROUND(((1+$M19)^('W1'!$B$20+1)*'W1'!$E$9+(1+$M19)^('W1'!$B$20+2)*'W1'!$E$10)/12*'Pilot Project Budget'!$E19*'Pilot Project Budget'!H19,0),(IF(AND($S$4="Multi",$R$4="PY"),ROUND($E19*H19*((1+$M19)^2)/12*'W1'!$E$5,0),(IF(AND($S$4&lt;&gt;"Multi",$R$4="FY"),ROUND(((1+$S$4)^('W1'!$B$20+1)*'W1'!$E$9+(1+$S$4)^('W1'!$B$20+2)*'W1'!$E$10)/12*'Pilot Project Budget'!$E19*'Pilot Project Budget'!H19,0),ROUND($E19*H19*((1+$S$4)^2)/12*'W1'!$E$5,0))))))),(IF(AND($S$4="Multi",$R$4="FY"),ROUND(((1+$M19)^('W1'!$B$20+2)*'W1'!$E$9+(1+$M19)^('W1'!$B$20+3)*'W1'!$E$10)/12*'Pilot Project Budget'!$E19*'Pilot Project Budget'!H19,0),(IF(AND($S$4="Multi",$R$4="PY"),ROUND($E19*H19*((1+$M19)^2)/12*'W1'!$E$5,0),(IF(AND($S$4&lt;&gt;"Multi",$R$4="FY"),ROUND(((1+$S$4)^('W1'!$B$20+2)*'W1'!$E$9+(1+$S$4)^('W1'!$B$20+3)*'W1'!$E$10)/12*'Pilot Project Budget'!$E19*'Pilot Project Budget'!H19,0),ROUND($E19*H19*((1+$S$4)^2)/12*'W1'!$E$5,0))))))))</f>
        <v>0</v>
      </c>
      <c r="Q19" s="187">
        <f>IF('W1'!$C$4='W1'!$D$4,(IF(AND($S$4="Multi",$R$4="FY"),ROUND(((1+$M19)^('W1'!$B$20+2)*'W1'!$F$9+(1+$M19)^('W1'!$B$20+3)*'W1'!$F$10)/12*'Pilot Project Budget'!$E19*'Pilot Project Budget'!$I19,0),(IF(AND($S$4="Multi",$R$4="PY"),ROUND($E19*$I19*((1+$M19)^3)/12*'W1'!$F$5,0),(IF(AND($S$4&lt;&gt;"Multi",$R$4="FY"),ROUND(((1+$S$4)^('W1'!$B$20+2)*'W1'!$F$9+(1+$S$4)^('W1'!$B$20+3)*'W1'!$F$10)/12*'Pilot Project Budget'!$E19*'Pilot Project Budget'!$I19,0),ROUND($E19*$I19*((1+$S$4)^3)/12*'W1'!$F$5,0))))))),(IF(AND($S$4="Multi",$R$4="FY"),ROUND(((1+$M19)^('W1'!$B$20+3)*'W1'!$F$9+(1+$M19)^('W1'!$B$20+4)*'W1'!$F$10)/12*'Pilot Project Budget'!$E19*'Pilot Project Budget'!$I19,0),(IF(AND($S$4="Multi",$R$4="PY"),ROUND($E19*$I19*((1+$M19)^3)/12*'W1'!$F$5,0),(IF(AND($S$4&lt;&gt;"Multi",$R$4="FY"),ROUND(((1+$S$4)^('W1'!$B$20+3)*'W1'!$F$9+(1+$S$4)^('W1'!$B$20+4)*'W1'!$F$10)/12*'Pilot Project Budget'!$E19*'Pilot Project Budget'!$I19,0),ROUND($E19*$I19*((1+$S$4)^3)/12*'W1'!$F$5,0))))))))</f>
        <v>0</v>
      </c>
      <c r="R19" s="187">
        <f>IF('W1'!$C$4='W1'!$D$4,(IF(AND($S$4="Multi",$R$4="FY"),ROUND(((1+$M19)^('W1'!$B$20+3)*'W1'!$G$9+(1+$M19)^('W1'!$B$20+4)*'W1'!$G$10)/12*'Pilot Project Budget'!$E19*'Pilot Project Budget'!$J19,0),(IF(AND($S$4="Multi",$R$4="PY"),ROUND($E19*$J19*((1+$M19)^4)/12*'W1'!$G$5,0),(IF(AND($S$4&lt;&gt;"Multi",$R$4="FY"),ROUND(((1+$S$4)^('W1'!$B$20+3)*'W1'!$G$9+(1+$S$4)^('W1'!$B$20+4)*'W1'!$G$10)/12*'Pilot Project Budget'!$E19*'Pilot Project Budget'!$J19,0),ROUND($E19*$J19*((1+$S$4)^4)/12*'W1'!$G$5,0))))))),(IF(AND($S$4="Multi",$R$4="FY"),ROUND(((1+$M19)^('W1'!$B$20+4)*'W1'!$G$9+(1+$M19)^('W1'!$B$20+5)*'W1'!$G$10)/12*'Pilot Project Budget'!$E19*'Pilot Project Budget'!$J19,0),(IF(AND($S$4="Multi",$R$4="PY"),ROUND($E19*$J19*((1+$M19)^4)/12*'W1'!$G$5,0),(IF(AND($S$4&lt;&gt;"Multi",$R$4="FY"),ROUND(((1+$S$4)^('W1'!$B$20+4)*'W1'!$G$9+(1+$S$4)^('W1'!$B$20+5)*'W1'!$G$10)/12*'Pilot Project Budget'!$E19*'Pilot Project Budget'!$J19,0),ROUND($E19*$J19*((1+$S$4)^4)/12*'W1'!$G$5,0))))))))</f>
        <v>0</v>
      </c>
      <c r="S19" s="188">
        <f t="shared" si="0"/>
        <v>0</v>
      </c>
      <c r="T19" s="246"/>
      <c r="U19" s="246"/>
      <c r="V19" s="246"/>
      <c r="W19" s="246"/>
      <c r="X19" s="246"/>
      <c r="Y19" s="247"/>
      <c r="Z19" s="247"/>
      <c r="AA19" s="247"/>
      <c r="AB19" s="247"/>
      <c r="AC19" s="24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idden="1" x14ac:dyDescent="0.2">
      <c r="A20" s="192">
        <v>13</v>
      </c>
      <c r="B20" s="193"/>
      <c r="C20" s="193"/>
      <c r="D20" s="194"/>
      <c r="E20" s="195"/>
      <c r="F20" s="221"/>
      <c r="G20" s="221"/>
      <c r="H20" s="221"/>
      <c r="I20" s="221"/>
      <c r="J20" s="221"/>
      <c r="K20" s="190" t="s">
        <v>176</v>
      </c>
      <c r="L20" s="190">
        <v>12</v>
      </c>
      <c r="M20" s="191">
        <v>0.03</v>
      </c>
      <c r="N20" s="187">
        <f>IF(AND($S$4="Multi",$R$4="FY"),ROUND(((1+$M20)^'W1'!$B$20*'W1'!$C$9+(1+$M20)^('W1'!$B$20+1)*'W1'!$C$10)/12*'Pilot Project Budget'!$E20*'Pilot Project Budget'!$F20,0),(IF(AND($S$4="Multi",$R$4="PY"),ROUND(E20*F20/12*'W1'!$C$5,0),(IF(AND($S$4&lt;&gt;"Multi",$R$4="FY"),ROUND(((1+$S$4)^'W1'!$B$20*'W1'!$C$9+(1+$S$4)^('W1'!$B$20+1)*'W1'!$C$10)/12*'Pilot Project Budget'!$E20*'Pilot Project Budget'!$F20,0),ROUND($E20*$F20/12*'W1'!$C$5,0))))))</f>
        <v>0</v>
      </c>
      <c r="O20" s="187">
        <f>IF('W1'!$C$4='W1'!$D$4,(IF(AND($S$4="Multi",$R$4="FY"),ROUND(((1+$M20)^('W1'!$B$20)*'W1'!$D$9+(1+$M20)^('W1'!$B$20+1)*'W1'!$D$10)/12*'Pilot Project Budget'!$E20*'Pilot Project Budget'!$G20,0),(IF(AND($S$4="Multi",$R$4="PY"),ROUND($E20*$G20*(1+M20)/12*'W1'!$D$5,0),(IF(AND($S$4&lt;&gt;"Multi",$R$4="FY"),ROUND(((1+$S$4)^('W1'!$B$20)*'W1'!$D$9+(1+$S$4)^('W1'!$B$20+1)*'W1'!$D$10)/12*'Pilot Project Budget'!$E20*'Pilot Project Budget'!$G20,0),ROUND($E20*$G20*(1+$S$4)/12*'W1'!$D$5,0))))))),(IF(AND($S$4="Multi",$R$4="FY"),ROUND(((1+$M20)^('W1'!$B$20+1)*'W1'!$D$9+(1+$M20)^('W1'!$B$20+2)*'W1'!$D$10)/12*'Pilot Project Budget'!$E20*'Pilot Project Budget'!$G20,0),(IF(AND($S$4="Multi",$R$4="PY"),ROUND($E20*$G20*(1+M20)/12*'W1'!$D$5,0),(IF(AND($S$4&lt;&gt;"Multi",$R$4="FY"),ROUND(((1+$S$4)^('W1'!$B$20+1)*'W1'!$D$9+(1+$S$4)^('W1'!$B$20+2)*'W1'!$D$10)/12*'Pilot Project Budget'!$E20*'Pilot Project Budget'!$G20,0),ROUND($E20*$G20*(1+$S$4)/12*'W1'!$D$5,0))))))))</f>
        <v>0</v>
      </c>
      <c r="P20" s="187">
        <f>IF('W1'!$C$4='W1'!$D$4,(IF(AND($S$4="Multi",$R$4="FY"),ROUND(((1+$M20)^('W1'!$B$20+1)*'W1'!$E$9+(1+$M20)^('W1'!$B$20+2)*'W1'!$E$10)/12*'Pilot Project Budget'!$E20*'Pilot Project Budget'!H20,0),(IF(AND($S$4="Multi",$R$4="PY"),ROUND($E20*H20*((1+$M20)^2)/12*'W1'!$E$5,0),(IF(AND($S$4&lt;&gt;"Multi",$R$4="FY"),ROUND(((1+$S$4)^('W1'!$B$20+1)*'W1'!$E$9+(1+$S$4)^('W1'!$B$20+2)*'W1'!$E$10)/12*'Pilot Project Budget'!$E20*'Pilot Project Budget'!H20,0),ROUND($E20*H20*((1+$S$4)^2)/12*'W1'!$E$5,0))))))),(IF(AND($S$4="Multi",$R$4="FY"),ROUND(((1+$M20)^('W1'!$B$20+2)*'W1'!$E$9+(1+$M20)^('W1'!$B$20+3)*'W1'!$E$10)/12*'Pilot Project Budget'!$E20*'Pilot Project Budget'!H20,0),(IF(AND($S$4="Multi",$R$4="PY"),ROUND($E20*H20*((1+$M20)^2)/12*'W1'!$E$5,0),(IF(AND($S$4&lt;&gt;"Multi",$R$4="FY"),ROUND(((1+$S$4)^('W1'!$B$20+2)*'W1'!$E$9+(1+$S$4)^('W1'!$B$20+3)*'W1'!$E$10)/12*'Pilot Project Budget'!$E20*'Pilot Project Budget'!H20,0),ROUND($E20*H20*((1+$S$4)^2)/12*'W1'!$E$5,0))))))))</f>
        <v>0</v>
      </c>
      <c r="Q20" s="187">
        <f>IF('W1'!$C$4='W1'!$D$4,(IF(AND($S$4="Multi",$R$4="FY"),ROUND(((1+$M20)^('W1'!$B$20+2)*'W1'!$F$9+(1+$M20)^('W1'!$B$20+3)*'W1'!$F$10)/12*'Pilot Project Budget'!$E20*'Pilot Project Budget'!$I20,0),(IF(AND($S$4="Multi",$R$4="PY"),ROUND($E20*$I20*((1+$M20)^3)/12*'W1'!$F$5,0),(IF(AND($S$4&lt;&gt;"Multi",$R$4="FY"),ROUND(((1+$S$4)^('W1'!$B$20+2)*'W1'!$F$9+(1+$S$4)^('W1'!$B$20+3)*'W1'!$F$10)/12*'Pilot Project Budget'!$E20*'Pilot Project Budget'!$I20,0),ROUND($E20*$I20*((1+$S$4)^3)/12*'W1'!$F$5,0))))))),(IF(AND($S$4="Multi",$R$4="FY"),ROUND(((1+$M20)^('W1'!$B$20+3)*'W1'!$F$9+(1+$M20)^('W1'!$B$20+4)*'W1'!$F$10)/12*'Pilot Project Budget'!$E20*'Pilot Project Budget'!$I20,0),(IF(AND($S$4="Multi",$R$4="PY"),ROUND($E20*$I20*((1+$M20)^3)/12*'W1'!$F$5,0),(IF(AND($S$4&lt;&gt;"Multi",$R$4="FY"),ROUND(((1+$S$4)^('W1'!$B$20+3)*'W1'!$F$9+(1+$S$4)^('W1'!$B$20+4)*'W1'!$F$10)/12*'Pilot Project Budget'!$E20*'Pilot Project Budget'!$I20,0),ROUND($E20*$I20*((1+$S$4)^3)/12*'W1'!$F$5,0))))))))</f>
        <v>0</v>
      </c>
      <c r="R20" s="187">
        <f>IF('W1'!$C$4='W1'!$D$4,(IF(AND($S$4="Multi",$R$4="FY"),ROUND(((1+$M20)^('W1'!$B$20+3)*'W1'!$G$9+(1+$M20)^('W1'!$B$20+4)*'W1'!$G$10)/12*'Pilot Project Budget'!$E20*'Pilot Project Budget'!$J20,0),(IF(AND($S$4="Multi",$R$4="PY"),ROUND($E20*$J20*((1+$M20)^4)/12*'W1'!$G$5,0),(IF(AND($S$4&lt;&gt;"Multi",$R$4="FY"),ROUND(((1+$S$4)^('W1'!$B$20+3)*'W1'!$G$9+(1+$S$4)^('W1'!$B$20+4)*'W1'!$G$10)/12*'Pilot Project Budget'!$E20*'Pilot Project Budget'!$J20,0),ROUND($E20*$J20*((1+$S$4)^4)/12*'W1'!$G$5,0))))))),(IF(AND($S$4="Multi",$R$4="FY"),ROUND(((1+$M20)^('W1'!$B$20+4)*'W1'!$G$9+(1+$M20)^('W1'!$B$20+5)*'W1'!$G$10)/12*'Pilot Project Budget'!$E20*'Pilot Project Budget'!$J20,0),(IF(AND($S$4="Multi",$R$4="PY"),ROUND($E20*$J20*((1+$M20)^4)/12*'W1'!$G$5,0),(IF(AND($S$4&lt;&gt;"Multi",$R$4="FY"),ROUND(((1+$S$4)^('W1'!$B$20+4)*'W1'!$G$9+(1+$S$4)^('W1'!$B$20+5)*'W1'!$G$10)/12*'Pilot Project Budget'!$E20*'Pilot Project Budget'!$J20,0),ROUND($E20*$J20*((1+$S$4)^4)/12*'W1'!$G$5,0))))))))</f>
        <v>0</v>
      </c>
      <c r="S20" s="188">
        <f t="shared" si="0"/>
        <v>0</v>
      </c>
      <c r="T20" s="246"/>
      <c r="U20" s="246"/>
      <c r="V20" s="246"/>
      <c r="W20" s="246"/>
      <c r="X20" s="246"/>
      <c r="Y20" s="247"/>
      <c r="Z20" s="247"/>
      <c r="AA20" s="247"/>
      <c r="AB20" s="247"/>
      <c r="AC20" s="24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idden="1" x14ac:dyDescent="0.2">
      <c r="A21" s="192">
        <v>14</v>
      </c>
      <c r="B21" s="193"/>
      <c r="C21" s="193"/>
      <c r="D21" s="194"/>
      <c r="E21" s="195"/>
      <c r="F21" s="221"/>
      <c r="G21" s="221"/>
      <c r="H21" s="221"/>
      <c r="I21" s="221"/>
      <c r="J21" s="221"/>
      <c r="K21" s="190" t="s">
        <v>176</v>
      </c>
      <c r="L21" s="190">
        <v>12</v>
      </c>
      <c r="M21" s="191">
        <v>0.03</v>
      </c>
      <c r="N21" s="187">
        <f>IF(AND($S$4="Multi",$R$4="FY"),ROUND(((1+$M21)^'W1'!$B$20*'W1'!$C$9+(1+$M21)^('W1'!$B$20+1)*'W1'!$C$10)/12*'Pilot Project Budget'!$E21*'Pilot Project Budget'!$F21,0),(IF(AND($S$4="Multi",$R$4="PY"),ROUND(E21*F21/12*'W1'!$C$5,0),(IF(AND($S$4&lt;&gt;"Multi",$R$4="FY"),ROUND(((1+$S$4)^'W1'!$B$20*'W1'!$C$9+(1+$S$4)^('W1'!$B$20+1)*'W1'!$C$10)/12*'Pilot Project Budget'!$E21*'Pilot Project Budget'!$F21,0),ROUND($E21*$F21/12*'W1'!$C$5,0))))))</f>
        <v>0</v>
      </c>
      <c r="O21" s="187">
        <f>IF('W1'!$C$4='W1'!$D$4,(IF(AND($S$4="Multi",$R$4="FY"),ROUND(((1+$M21)^('W1'!$B$20)*'W1'!$D$9+(1+$M21)^('W1'!$B$20+1)*'W1'!$D$10)/12*'Pilot Project Budget'!$E21*'Pilot Project Budget'!$G21,0),(IF(AND($S$4="Multi",$R$4="PY"),ROUND($E21*$G21*(1+M21)/12*'W1'!$D$5,0),(IF(AND($S$4&lt;&gt;"Multi",$R$4="FY"),ROUND(((1+$S$4)^('W1'!$B$20)*'W1'!$D$9+(1+$S$4)^('W1'!$B$20+1)*'W1'!$D$10)/12*'Pilot Project Budget'!$E21*'Pilot Project Budget'!$G21,0),ROUND($E21*$G21*(1+$S$4)/12*'W1'!$D$5,0))))))),(IF(AND($S$4="Multi",$R$4="FY"),ROUND(((1+$M21)^('W1'!$B$20+1)*'W1'!$D$9+(1+$M21)^('W1'!$B$20+2)*'W1'!$D$10)/12*'Pilot Project Budget'!$E21*'Pilot Project Budget'!$G21,0),(IF(AND($S$4="Multi",$R$4="PY"),ROUND($E21*$G21*(1+M21)/12*'W1'!$D$5,0),(IF(AND($S$4&lt;&gt;"Multi",$R$4="FY"),ROUND(((1+$S$4)^('W1'!$B$20+1)*'W1'!$D$9+(1+$S$4)^('W1'!$B$20+2)*'W1'!$D$10)/12*'Pilot Project Budget'!$E21*'Pilot Project Budget'!$G21,0),ROUND($E21*$G21*(1+$S$4)/12*'W1'!$D$5,0))))))))</f>
        <v>0</v>
      </c>
      <c r="P21" s="187">
        <f>IF('W1'!$C$4='W1'!$D$4,(IF(AND($S$4="Multi",$R$4="FY"),ROUND(((1+$M21)^('W1'!$B$20+1)*'W1'!$E$9+(1+$M21)^('W1'!$B$20+2)*'W1'!$E$10)/12*'Pilot Project Budget'!$E21*'Pilot Project Budget'!H21,0),(IF(AND($S$4="Multi",$R$4="PY"),ROUND($E21*H21*((1+$M21)^2)/12*'W1'!$E$5,0),(IF(AND($S$4&lt;&gt;"Multi",$R$4="FY"),ROUND(((1+$S$4)^('W1'!$B$20+1)*'W1'!$E$9+(1+$S$4)^('W1'!$B$20+2)*'W1'!$E$10)/12*'Pilot Project Budget'!$E21*'Pilot Project Budget'!H21,0),ROUND($E21*H21*((1+$S$4)^2)/12*'W1'!$E$5,0))))))),(IF(AND($S$4="Multi",$R$4="FY"),ROUND(((1+$M21)^('W1'!$B$20+2)*'W1'!$E$9+(1+$M21)^('W1'!$B$20+3)*'W1'!$E$10)/12*'Pilot Project Budget'!$E21*'Pilot Project Budget'!H21,0),(IF(AND($S$4="Multi",$R$4="PY"),ROUND($E21*H21*((1+$M21)^2)/12*'W1'!$E$5,0),(IF(AND($S$4&lt;&gt;"Multi",$R$4="FY"),ROUND(((1+$S$4)^('W1'!$B$20+2)*'W1'!$E$9+(1+$S$4)^('W1'!$B$20+3)*'W1'!$E$10)/12*'Pilot Project Budget'!$E21*'Pilot Project Budget'!H21,0),ROUND($E21*H21*((1+$S$4)^2)/12*'W1'!$E$5,0))))))))</f>
        <v>0</v>
      </c>
      <c r="Q21" s="187">
        <f>IF('W1'!$C$4='W1'!$D$4,(IF(AND($S$4="Multi",$R$4="FY"),ROUND(((1+$M21)^('W1'!$B$20+2)*'W1'!$F$9+(1+$M21)^('W1'!$B$20+3)*'W1'!$F$10)/12*'Pilot Project Budget'!$E21*'Pilot Project Budget'!$I21,0),(IF(AND($S$4="Multi",$R$4="PY"),ROUND($E21*$I21*((1+$M21)^3)/12*'W1'!$F$5,0),(IF(AND($S$4&lt;&gt;"Multi",$R$4="FY"),ROUND(((1+$S$4)^('W1'!$B$20+2)*'W1'!$F$9+(1+$S$4)^('W1'!$B$20+3)*'W1'!$F$10)/12*'Pilot Project Budget'!$E21*'Pilot Project Budget'!$I21,0),ROUND($E21*$I21*((1+$S$4)^3)/12*'W1'!$F$5,0))))))),(IF(AND($S$4="Multi",$R$4="FY"),ROUND(((1+$M21)^('W1'!$B$20+3)*'W1'!$F$9+(1+$M21)^('W1'!$B$20+4)*'W1'!$F$10)/12*'Pilot Project Budget'!$E21*'Pilot Project Budget'!$I21,0),(IF(AND($S$4="Multi",$R$4="PY"),ROUND($E21*$I21*((1+$M21)^3)/12*'W1'!$F$5,0),(IF(AND($S$4&lt;&gt;"Multi",$R$4="FY"),ROUND(((1+$S$4)^('W1'!$B$20+3)*'W1'!$F$9+(1+$S$4)^('W1'!$B$20+4)*'W1'!$F$10)/12*'Pilot Project Budget'!$E21*'Pilot Project Budget'!$I21,0),ROUND($E21*$I21*((1+$S$4)^3)/12*'W1'!$F$5,0))))))))</f>
        <v>0</v>
      </c>
      <c r="R21" s="187">
        <f>IF('W1'!$C$4='W1'!$D$4,(IF(AND($S$4="Multi",$R$4="FY"),ROUND(((1+$M21)^('W1'!$B$20+3)*'W1'!$G$9+(1+$M21)^('W1'!$B$20+4)*'W1'!$G$10)/12*'Pilot Project Budget'!$E21*'Pilot Project Budget'!$J21,0),(IF(AND($S$4="Multi",$R$4="PY"),ROUND($E21*$J21*((1+$M21)^4)/12*'W1'!$G$5,0),(IF(AND($S$4&lt;&gt;"Multi",$R$4="FY"),ROUND(((1+$S$4)^('W1'!$B$20+3)*'W1'!$G$9+(1+$S$4)^('W1'!$B$20+4)*'W1'!$G$10)/12*'Pilot Project Budget'!$E21*'Pilot Project Budget'!$J21,0),ROUND($E21*$J21*((1+$S$4)^4)/12*'W1'!$G$5,0))))))),(IF(AND($S$4="Multi",$R$4="FY"),ROUND(((1+$M21)^('W1'!$B$20+4)*'W1'!$G$9+(1+$M21)^('W1'!$B$20+5)*'W1'!$G$10)/12*'Pilot Project Budget'!$E21*'Pilot Project Budget'!$J21,0),(IF(AND($S$4="Multi",$R$4="PY"),ROUND($E21*$J21*((1+$M21)^4)/12*'W1'!$G$5,0),(IF(AND($S$4&lt;&gt;"Multi",$R$4="FY"),ROUND(((1+$S$4)^('W1'!$B$20+4)*'W1'!$G$9+(1+$S$4)^('W1'!$B$20+5)*'W1'!$G$10)/12*'Pilot Project Budget'!$E21*'Pilot Project Budget'!$J21,0),ROUND($E21*$J21*((1+$S$4)^4)/12*'W1'!$G$5,0))))))))</f>
        <v>0</v>
      </c>
      <c r="S21" s="188">
        <f t="shared" si="0"/>
        <v>0</v>
      </c>
      <c r="T21" s="246"/>
      <c r="U21" s="246"/>
      <c r="V21" s="246"/>
      <c r="W21" s="246"/>
      <c r="X21" s="246"/>
      <c r="Y21" s="247"/>
      <c r="Z21" s="247"/>
      <c r="AA21" s="247"/>
      <c r="AB21" s="247"/>
      <c r="AC21" s="24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idden="1" x14ac:dyDescent="0.2">
      <c r="A22" s="192">
        <v>15</v>
      </c>
      <c r="B22" s="193"/>
      <c r="C22" s="193"/>
      <c r="D22" s="194"/>
      <c r="E22" s="195"/>
      <c r="F22" s="221"/>
      <c r="G22" s="221"/>
      <c r="H22" s="221"/>
      <c r="I22" s="221"/>
      <c r="J22" s="221"/>
      <c r="K22" s="190" t="s">
        <v>176</v>
      </c>
      <c r="L22" s="190">
        <v>12</v>
      </c>
      <c r="M22" s="191">
        <v>0.03</v>
      </c>
      <c r="N22" s="187">
        <f>IF(AND($S$4="Multi",$R$4="FY"),ROUND(((1+$M22)^'W1'!$B$20*'W1'!$C$9+(1+$M22)^('W1'!$B$20+1)*'W1'!$C$10)/12*'Pilot Project Budget'!$E22*'Pilot Project Budget'!$F22,0),(IF(AND($S$4="Multi",$R$4="PY"),ROUND(E22*F22/12*'W1'!$C$5,0),(IF(AND($S$4&lt;&gt;"Multi",$R$4="FY"),ROUND(((1+$S$4)^'W1'!$B$20*'W1'!$C$9+(1+$S$4)^('W1'!$B$20+1)*'W1'!$C$10)/12*'Pilot Project Budget'!$E22*'Pilot Project Budget'!$F22,0),ROUND($E22*$F22/12*'W1'!$C$5,0))))))</f>
        <v>0</v>
      </c>
      <c r="O22" s="187">
        <f>IF('W1'!$C$4='W1'!$D$4,(IF(AND($S$4="Multi",$R$4="FY"),ROUND(((1+$M22)^('W1'!$B$20)*'W1'!$D$9+(1+$M22)^('W1'!$B$20+1)*'W1'!$D$10)/12*'Pilot Project Budget'!$E22*'Pilot Project Budget'!$G22,0),(IF(AND($S$4="Multi",$R$4="PY"),ROUND($E22*$G22*(1+M22)/12*'W1'!$D$5,0),(IF(AND($S$4&lt;&gt;"Multi",$R$4="FY"),ROUND(((1+$S$4)^('W1'!$B$20)*'W1'!$D$9+(1+$S$4)^('W1'!$B$20+1)*'W1'!$D$10)/12*'Pilot Project Budget'!$E22*'Pilot Project Budget'!$G22,0),ROUND($E22*$G22*(1+$S$4)/12*'W1'!$D$5,0))))))),(IF(AND($S$4="Multi",$R$4="FY"),ROUND(((1+$M22)^('W1'!$B$20+1)*'W1'!$D$9+(1+$M22)^('W1'!$B$20+2)*'W1'!$D$10)/12*'Pilot Project Budget'!$E22*'Pilot Project Budget'!$G22,0),(IF(AND($S$4="Multi",$R$4="PY"),ROUND($E22*$G22*(1+M22)/12*'W1'!$D$5,0),(IF(AND($S$4&lt;&gt;"Multi",$R$4="FY"),ROUND(((1+$S$4)^('W1'!$B$20+1)*'W1'!$D$9+(1+$S$4)^('W1'!$B$20+2)*'W1'!$D$10)/12*'Pilot Project Budget'!$E22*'Pilot Project Budget'!$G22,0),ROUND($E22*$G22*(1+$S$4)/12*'W1'!$D$5,0))))))))</f>
        <v>0</v>
      </c>
      <c r="P22" s="187">
        <f>IF('W1'!$C$4='W1'!$D$4,(IF(AND($S$4="Multi",$R$4="FY"),ROUND(((1+$M22)^('W1'!$B$20+1)*'W1'!$E$9+(1+$M22)^('W1'!$B$20+2)*'W1'!$E$10)/12*'Pilot Project Budget'!$E22*'Pilot Project Budget'!H22,0),(IF(AND($S$4="Multi",$R$4="PY"),ROUND($E22*H22*((1+$M22)^2)/12*'W1'!$E$5,0),(IF(AND($S$4&lt;&gt;"Multi",$R$4="FY"),ROUND(((1+$S$4)^('W1'!$B$20+1)*'W1'!$E$9+(1+$S$4)^('W1'!$B$20+2)*'W1'!$E$10)/12*'Pilot Project Budget'!$E22*'Pilot Project Budget'!H22,0),ROUND($E22*H22*((1+$S$4)^2)/12*'W1'!$E$5,0))))))),(IF(AND($S$4="Multi",$R$4="FY"),ROUND(((1+$M22)^('W1'!$B$20+2)*'W1'!$E$9+(1+$M22)^('W1'!$B$20+3)*'W1'!$E$10)/12*'Pilot Project Budget'!$E22*'Pilot Project Budget'!H22,0),(IF(AND($S$4="Multi",$R$4="PY"),ROUND($E22*H22*((1+$M22)^2)/12*'W1'!$E$5,0),(IF(AND($S$4&lt;&gt;"Multi",$R$4="FY"),ROUND(((1+$S$4)^('W1'!$B$20+2)*'W1'!$E$9+(1+$S$4)^('W1'!$B$20+3)*'W1'!$E$10)/12*'Pilot Project Budget'!$E22*'Pilot Project Budget'!H22,0),ROUND($E22*H22*((1+$S$4)^2)/12*'W1'!$E$5,0))))))))</f>
        <v>0</v>
      </c>
      <c r="Q22" s="187">
        <f>IF('W1'!$C$4='W1'!$D$4,(IF(AND($S$4="Multi",$R$4="FY"),ROUND(((1+$M22)^('W1'!$B$20+2)*'W1'!$F$9+(1+$M22)^('W1'!$B$20+3)*'W1'!$F$10)/12*'Pilot Project Budget'!$E22*'Pilot Project Budget'!$I22,0),(IF(AND($S$4="Multi",$R$4="PY"),ROUND($E22*$I22*((1+$M22)^3)/12*'W1'!$F$5,0),(IF(AND($S$4&lt;&gt;"Multi",$R$4="FY"),ROUND(((1+$S$4)^('W1'!$B$20+2)*'W1'!$F$9+(1+$S$4)^('W1'!$B$20+3)*'W1'!$F$10)/12*'Pilot Project Budget'!$E22*'Pilot Project Budget'!$I22,0),ROUND($E22*$I22*((1+$S$4)^3)/12*'W1'!$F$5,0))))))),(IF(AND($S$4="Multi",$R$4="FY"),ROUND(((1+$M22)^('W1'!$B$20+3)*'W1'!$F$9+(1+$M22)^('W1'!$B$20+4)*'W1'!$F$10)/12*'Pilot Project Budget'!$E22*'Pilot Project Budget'!$I22,0),(IF(AND($S$4="Multi",$R$4="PY"),ROUND($E22*$I22*((1+$M22)^3)/12*'W1'!$F$5,0),(IF(AND($S$4&lt;&gt;"Multi",$R$4="FY"),ROUND(((1+$S$4)^('W1'!$B$20+3)*'W1'!$F$9+(1+$S$4)^('W1'!$B$20+4)*'W1'!$F$10)/12*'Pilot Project Budget'!$E22*'Pilot Project Budget'!$I22,0),ROUND($E22*$I22*((1+$S$4)^3)/12*'W1'!$F$5,0))))))))</f>
        <v>0</v>
      </c>
      <c r="R22" s="187">
        <f>IF('W1'!$C$4='W1'!$D$4,(IF(AND($S$4="Multi",$R$4="FY"),ROUND(((1+$M22)^('W1'!$B$20+3)*'W1'!$G$9+(1+$M22)^('W1'!$B$20+4)*'W1'!$G$10)/12*'Pilot Project Budget'!$E22*'Pilot Project Budget'!$J22,0),(IF(AND($S$4="Multi",$R$4="PY"),ROUND($E22*$J22*((1+$M22)^4)/12*'W1'!$G$5,0),(IF(AND($S$4&lt;&gt;"Multi",$R$4="FY"),ROUND(((1+$S$4)^('W1'!$B$20+3)*'W1'!$G$9+(1+$S$4)^('W1'!$B$20+4)*'W1'!$G$10)/12*'Pilot Project Budget'!$E22*'Pilot Project Budget'!$J22,0),ROUND($E22*$J22*((1+$S$4)^4)/12*'W1'!$G$5,0))))))),(IF(AND($S$4="Multi",$R$4="FY"),ROUND(((1+$M22)^('W1'!$B$20+4)*'W1'!$G$9+(1+$M22)^('W1'!$B$20+5)*'W1'!$G$10)/12*'Pilot Project Budget'!$E22*'Pilot Project Budget'!$J22,0),(IF(AND($S$4="Multi",$R$4="PY"),ROUND($E22*$J22*((1+$M22)^4)/12*'W1'!$G$5,0),(IF(AND($S$4&lt;&gt;"Multi",$R$4="FY"),ROUND(((1+$S$4)^('W1'!$B$20+4)*'W1'!$G$9+(1+$S$4)^('W1'!$B$20+5)*'W1'!$G$10)/12*'Pilot Project Budget'!$E22*'Pilot Project Budget'!$J22,0),ROUND($E22*$J22*((1+$S$4)^4)/12*'W1'!$G$5,0))))))))</f>
        <v>0</v>
      </c>
      <c r="S22" s="188">
        <f t="shared" si="0"/>
        <v>0</v>
      </c>
      <c r="T22" s="246"/>
      <c r="U22" s="246"/>
      <c r="V22" s="246"/>
      <c r="W22" s="246"/>
      <c r="X22" s="246"/>
      <c r="Y22" s="247"/>
      <c r="Z22" s="247"/>
      <c r="AA22" s="247"/>
      <c r="AB22" s="247"/>
      <c r="AC22" s="24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idden="1" x14ac:dyDescent="0.2">
      <c r="A23" s="192">
        <v>16</v>
      </c>
      <c r="B23" s="193"/>
      <c r="C23" s="193"/>
      <c r="D23" s="194"/>
      <c r="E23" s="195"/>
      <c r="F23" s="221"/>
      <c r="G23" s="221"/>
      <c r="H23" s="221"/>
      <c r="I23" s="221"/>
      <c r="J23" s="221"/>
      <c r="K23" s="190" t="s">
        <v>176</v>
      </c>
      <c r="L23" s="190">
        <v>12</v>
      </c>
      <c r="M23" s="191">
        <v>0.03</v>
      </c>
      <c r="N23" s="187">
        <f>IF(AND($S$4="Multi",$R$4="FY"),ROUND(((1+$M23)^'W1'!$B$20*'W1'!$C$9+(1+$M23)^('W1'!$B$20+1)*'W1'!$C$10)/12*'Pilot Project Budget'!$E23*'Pilot Project Budget'!$F23,0),(IF(AND($S$4="Multi",$R$4="PY"),ROUND(E23*F23/12*'W1'!$C$5,0),(IF(AND($S$4&lt;&gt;"Multi",$R$4="FY"),ROUND(((1+$S$4)^'W1'!$B$20*'W1'!$C$9+(1+$S$4)^('W1'!$B$20+1)*'W1'!$C$10)/12*'Pilot Project Budget'!$E23*'Pilot Project Budget'!$F23,0),ROUND($E23*$F23/12*'W1'!$C$5,0))))))</f>
        <v>0</v>
      </c>
      <c r="O23" s="187">
        <f>IF('W1'!$C$4='W1'!$D$4,(IF(AND($S$4="Multi",$R$4="FY"),ROUND(((1+$M23)^('W1'!$B$20)*'W1'!$D$9+(1+$M23)^('W1'!$B$20+1)*'W1'!$D$10)/12*'Pilot Project Budget'!$E23*'Pilot Project Budget'!$G23,0),(IF(AND($S$4="Multi",$R$4="PY"),ROUND($E23*$G23*(1+M23)/12*'W1'!$D$5,0),(IF(AND($S$4&lt;&gt;"Multi",$R$4="FY"),ROUND(((1+$S$4)^('W1'!$B$20)*'W1'!$D$9+(1+$S$4)^('W1'!$B$20+1)*'W1'!$D$10)/12*'Pilot Project Budget'!$E23*'Pilot Project Budget'!$G23,0),ROUND($E23*$G23*(1+$S$4)/12*'W1'!$D$5,0))))))),(IF(AND($S$4="Multi",$R$4="FY"),ROUND(((1+$M23)^('W1'!$B$20+1)*'W1'!$D$9+(1+$M23)^('W1'!$B$20+2)*'W1'!$D$10)/12*'Pilot Project Budget'!$E23*'Pilot Project Budget'!$G23,0),(IF(AND($S$4="Multi",$R$4="PY"),ROUND($E23*$G23*(1+M23)/12*'W1'!$D$5,0),(IF(AND($S$4&lt;&gt;"Multi",$R$4="FY"),ROUND(((1+$S$4)^('W1'!$B$20+1)*'W1'!$D$9+(1+$S$4)^('W1'!$B$20+2)*'W1'!$D$10)/12*'Pilot Project Budget'!$E23*'Pilot Project Budget'!$G23,0),ROUND($E23*$G23*(1+$S$4)/12*'W1'!$D$5,0))))))))</f>
        <v>0</v>
      </c>
      <c r="P23" s="187">
        <f>IF('W1'!$C$4='W1'!$D$4,(IF(AND($S$4="Multi",$R$4="FY"),ROUND(((1+$M23)^('W1'!$B$20+1)*'W1'!$E$9+(1+$M23)^('W1'!$B$20+2)*'W1'!$E$10)/12*'Pilot Project Budget'!$E23*'Pilot Project Budget'!H23,0),(IF(AND($S$4="Multi",$R$4="PY"),ROUND($E23*H23*((1+$M23)^2)/12*'W1'!$E$5,0),(IF(AND($S$4&lt;&gt;"Multi",$R$4="FY"),ROUND(((1+$S$4)^('W1'!$B$20+1)*'W1'!$E$9+(1+$S$4)^('W1'!$B$20+2)*'W1'!$E$10)/12*'Pilot Project Budget'!$E23*'Pilot Project Budget'!H23,0),ROUND($E23*H23*((1+$S$4)^2)/12*'W1'!$E$5,0))))))),(IF(AND($S$4="Multi",$R$4="FY"),ROUND(((1+$M23)^('W1'!$B$20+2)*'W1'!$E$9+(1+$M23)^('W1'!$B$20+3)*'W1'!$E$10)/12*'Pilot Project Budget'!$E23*'Pilot Project Budget'!H23,0),(IF(AND($S$4="Multi",$R$4="PY"),ROUND($E23*H23*((1+$M23)^2)/12*'W1'!$E$5,0),(IF(AND($S$4&lt;&gt;"Multi",$R$4="FY"),ROUND(((1+$S$4)^('W1'!$B$20+2)*'W1'!$E$9+(1+$S$4)^('W1'!$B$20+3)*'W1'!$E$10)/12*'Pilot Project Budget'!$E23*'Pilot Project Budget'!H23,0),ROUND($E23*H23*((1+$S$4)^2)/12*'W1'!$E$5,0))))))))</f>
        <v>0</v>
      </c>
      <c r="Q23" s="187">
        <f>IF('W1'!$C$4='W1'!$D$4,(IF(AND($S$4="Multi",$R$4="FY"),ROUND(((1+$M23)^('W1'!$B$20+2)*'W1'!$F$9+(1+$M23)^('W1'!$B$20+3)*'W1'!$F$10)/12*'Pilot Project Budget'!$E23*'Pilot Project Budget'!$I23,0),(IF(AND($S$4="Multi",$R$4="PY"),ROUND($E23*$I23*((1+$M23)^3)/12*'W1'!$F$5,0),(IF(AND($S$4&lt;&gt;"Multi",$R$4="FY"),ROUND(((1+$S$4)^('W1'!$B$20+2)*'W1'!$F$9+(1+$S$4)^('W1'!$B$20+3)*'W1'!$F$10)/12*'Pilot Project Budget'!$E23*'Pilot Project Budget'!$I23,0),ROUND($E23*$I23*((1+$S$4)^3)/12*'W1'!$F$5,0))))))),(IF(AND($S$4="Multi",$R$4="FY"),ROUND(((1+$M23)^('W1'!$B$20+3)*'W1'!$F$9+(1+$M23)^('W1'!$B$20+4)*'W1'!$F$10)/12*'Pilot Project Budget'!$E23*'Pilot Project Budget'!$I23,0),(IF(AND($S$4="Multi",$R$4="PY"),ROUND($E23*$I23*((1+$M23)^3)/12*'W1'!$F$5,0),(IF(AND($S$4&lt;&gt;"Multi",$R$4="FY"),ROUND(((1+$S$4)^('W1'!$B$20+3)*'W1'!$F$9+(1+$S$4)^('W1'!$B$20+4)*'W1'!$F$10)/12*'Pilot Project Budget'!$E23*'Pilot Project Budget'!$I23,0),ROUND($E23*$I23*((1+$S$4)^3)/12*'W1'!$F$5,0))))))))</f>
        <v>0</v>
      </c>
      <c r="R23" s="187">
        <f>IF('W1'!$C$4='W1'!$D$4,(IF(AND($S$4="Multi",$R$4="FY"),ROUND(((1+$M23)^('W1'!$B$20+3)*'W1'!$G$9+(1+$M23)^('W1'!$B$20+4)*'W1'!$G$10)/12*'Pilot Project Budget'!$E23*'Pilot Project Budget'!$J23,0),(IF(AND($S$4="Multi",$R$4="PY"),ROUND($E23*$J23*((1+$M23)^4)/12*'W1'!$G$5,0),(IF(AND($S$4&lt;&gt;"Multi",$R$4="FY"),ROUND(((1+$S$4)^('W1'!$B$20+3)*'W1'!$G$9+(1+$S$4)^('W1'!$B$20+4)*'W1'!$G$10)/12*'Pilot Project Budget'!$E23*'Pilot Project Budget'!$J23,0),ROUND($E23*$J23*((1+$S$4)^4)/12*'W1'!$G$5,0))))))),(IF(AND($S$4="Multi",$R$4="FY"),ROUND(((1+$M23)^('W1'!$B$20+4)*'W1'!$G$9+(1+$M23)^('W1'!$B$20+5)*'W1'!$G$10)/12*'Pilot Project Budget'!$E23*'Pilot Project Budget'!$J23,0),(IF(AND($S$4="Multi",$R$4="PY"),ROUND($E23*$J23*((1+$M23)^4)/12*'W1'!$G$5,0),(IF(AND($S$4&lt;&gt;"Multi",$R$4="FY"),ROUND(((1+$S$4)^('W1'!$B$20+4)*'W1'!$G$9+(1+$S$4)^('W1'!$B$20+5)*'W1'!$G$10)/12*'Pilot Project Budget'!$E23*'Pilot Project Budget'!$J23,0),ROUND($E23*$J23*((1+$S$4)^4)/12*'W1'!$G$5,0))))))))</f>
        <v>0</v>
      </c>
      <c r="S23" s="188">
        <f t="shared" si="0"/>
        <v>0</v>
      </c>
      <c r="T23" s="246"/>
      <c r="U23" s="246"/>
      <c r="V23" s="246"/>
      <c r="W23" s="246"/>
      <c r="X23" s="246"/>
      <c r="Y23" s="247"/>
      <c r="Z23" s="247"/>
      <c r="AA23" s="247"/>
      <c r="AB23" s="247"/>
      <c r="AC23" s="24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idden="1" x14ac:dyDescent="0.2">
      <c r="A24" s="192">
        <v>17</v>
      </c>
      <c r="B24" s="193"/>
      <c r="C24" s="193"/>
      <c r="D24" s="194"/>
      <c r="E24" s="195"/>
      <c r="F24" s="221"/>
      <c r="G24" s="221"/>
      <c r="H24" s="221"/>
      <c r="I24" s="221"/>
      <c r="J24" s="221"/>
      <c r="K24" s="190" t="s">
        <v>176</v>
      </c>
      <c r="L24" s="190">
        <v>12</v>
      </c>
      <c r="M24" s="191">
        <v>0.03</v>
      </c>
      <c r="N24" s="187">
        <f>IF(AND($S$4="Multi",$R$4="FY"),ROUND(((1+$M24)^'W1'!$B$20*'W1'!$C$9+(1+$M24)^('W1'!$B$20+1)*'W1'!$C$10)/12*'Pilot Project Budget'!$E24*'Pilot Project Budget'!$F24,0),(IF(AND($S$4="Multi",$R$4="PY"),ROUND(E24*F24/12*'W1'!$C$5,0),(IF(AND($S$4&lt;&gt;"Multi",$R$4="FY"),ROUND(((1+$S$4)^'W1'!$B$20*'W1'!$C$9+(1+$S$4)^('W1'!$B$20+1)*'W1'!$C$10)/12*'Pilot Project Budget'!$E24*'Pilot Project Budget'!$F24,0),ROUND($E24*$F24/12*'W1'!$C$5,0))))))</f>
        <v>0</v>
      </c>
      <c r="O24" s="187">
        <f>IF('W1'!$C$4='W1'!$D$4,(IF(AND($S$4="Multi",$R$4="FY"),ROUND(((1+$M24)^('W1'!$B$20)*'W1'!$D$9+(1+$M24)^('W1'!$B$20+1)*'W1'!$D$10)/12*'Pilot Project Budget'!$E24*'Pilot Project Budget'!$G24,0),(IF(AND($S$4="Multi",$R$4="PY"),ROUND($E24*$G24*(1+M24)/12*'W1'!$D$5,0),(IF(AND($S$4&lt;&gt;"Multi",$R$4="FY"),ROUND(((1+$S$4)^('W1'!$B$20)*'W1'!$D$9+(1+$S$4)^('W1'!$B$20+1)*'W1'!$D$10)/12*'Pilot Project Budget'!$E24*'Pilot Project Budget'!$G24,0),ROUND($E24*$G24*(1+$S$4)/12*'W1'!$D$5,0))))))),(IF(AND($S$4="Multi",$R$4="FY"),ROUND(((1+$M24)^('W1'!$B$20+1)*'W1'!$D$9+(1+$M24)^('W1'!$B$20+2)*'W1'!$D$10)/12*'Pilot Project Budget'!$E24*'Pilot Project Budget'!$G24,0),(IF(AND($S$4="Multi",$R$4="PY"),ROUND($E24*$G24*(1+M24)/12*'W1'!$D$5,0),(IF(AND($S$4&lt;&gt;"Multi",$R$4="FY"),ROUND(((1+$S$4)^('W1'!$B$20+1)*'W1'!$D$9+(1+$S$4)^('W1'!$B$20+2)*'W1'!$D$10)/12*'Pilot Project Budget'!$E24*'Pilot Project Budget'!$G24,0),ROUND($E24*$G24*(1+$S$4)/12*'W1'!$D$5,0))))))))</f>
        <v>0</v>
      </c>
      <c r="P24" s="187">
        <f>IF('W1'!$C$4='W1'!$D$4,(IF(AND($S$4="Multi",$R$4="FY"),ROUND(((1+$M24)^('W1'!$B$20+1)*'W1'!$E$9+(1+$M24)^('W1'!$B$20+2)*'W1'!$E$10)/12*'Pilot Project Budget'!$E24*'Pilot Project Budget'!H24,0),(IF(AND($S$4="Multi",$R$4="PY"),ROUND($E24*H24*((1+$M24)^2)/12*'W1'!$E$5,0),(IF(AND($S$4&lt;&gt;"Multi",$R$4="FY"),ROUND(((1+$S$4)^('W1'!$B$20+1)*'W1'!$E$9+(1+$S$4)^('W1'!$B$20+2)*'W1'!$E$10)/12*'Pilot Project Budget'!$E24*'Pilot Project Budget'!H24,0),ROUND($E24*H24*((1+$S$4)^2)/12*'W1'!$E$5,0))))))),(IF(AND($S$4="Multi",$R$4="FY"),ROUND(((1+$M24)^('W1'!$B$20+2)*'W1'!$E$9+(1+$M24)^('W1'!$B$20+3)*'W1'!$E$10)/12*'Pilot Project Budget'!$E24*'Pilot Project Budget'!H24,0),(IF(AND($S$4="Multi",$R$4="PY"),ROUND($E24*H24*((1+$M24)^2)/12*'W1'!$E$5,0),(IF(AND($S$4&lt;&gt;"Multi",$R$4="FY"),ROUND(((1+$S$4)^('W1'!$B$20+2)*'W1'!$E$9+(1+$S$4)^('W1'!$B$20+3)*'W1'!$E$10)/12*'Pilot Project Budget'!$E24*'Pilot Project Budget'!H24,0),ROUND($E24*H24*((1+$S$4)^2)/12*'W1'!$E$5,0))))))))</f>
        <v>0</v>
      </c>
      <c r="Q24" s="187">
        <f>IF('W1'!$C$4='W1'!$D$4,(IF(AND($S$4="Multi",$R$4="FY"),ROUND(((1+$M24)^('W1'!$B$20+2)*'W1'!$F$9+(1+$M24)^('W1'!$B$20+3)*'W1'!$F$10)/12*'Pilot Project Budget'!$E24*'Pilot Project Budget'!$I24,0),(IF(AND($S$4="Multi",$R$4="PY"),ROUND($E24*$I24*((1+$M24)^3)/12*'W1'!$F$5,0),(IF(AND($S$4&lt;&gt;"Multi",$R$4="FY"),ROUND(((1+$S$4)^('W1'!$B$20+2)*'W1'!$F$9+(1+$S$4)^('W1'!$B$20+3)*'W1'!$F$10)/12*'Pilot Project Budget'!$E24*'Pilot Project Budget'!$I24,0),ROUND($E24*$I24*((1+$S$4)^3)/12*'W1'!$F$5,0))))))),(IF(AND($S$4="Multi",$R$4="FY"),ROUND(((1+$M24)^('W1'!$B$20+3)*'W1'!$F$9+(1+$M24)^('W1'!$B$20+4)*'W1'!$F$10)/12*'Pilot Project Budget'!$E24*'Pilot Project Budget'!$I24,0),(IF(AND($S$4="Multi",$R$4="PY"),ROUND($E24*$I24*((1+$M24)^3)/12*'W1'!$F$5,0),(IF(AND($S$4&lt;&gt;"Multi",$R$4="FY"),ROUND(((1+$S$4)^('W1'!$B$20+3)*'W1'!$F$9+(1+$S$4)^('W1'!$B$20+4)*'W1'!$F$10)/12*'Pilot Project Budget'!$E24*'Pilot Project Budget'!$I24,0),ROUND($E24*$I24*((1+$S$4)^3)/12*'W1'!$F$5,0))))))))</f>
        <v>0</v>
      </c>
      <c r="R24" s="187">
        <f>IF('W1'!$C$4='W1'!$D$4,(IF(AND($S$4="Multi",$R$4="FY"),ROUND(((1+$M24)^('W1'!$B$20+3)*'W1'!$G$9+(1+$M24)^('W1'!$B$20+4)*'W1'!$G$10)/12*'Pilot Project Budget'!$E24*'Pilot Project Budget'!$J24,0),(IF(AND($S$4="Multi",$R$4="PY"),ROUND($E24*$J24*((1+$M24)^4)/12*'W1'!$G$5,0),(IF(AND($S$4&lt;&gt;"Multi",$R$4="FY"),ROUND(((1+$S$4)^('W1'!$B$20+3)*'W1'!$G$9+(1+$S$4)^('W1'!$B$20+4)*'W1'!$G$10)/12*'Pilot Project Budget'!$E24*'Pilot Project Budget'!$J24,0),ROUND($E24*$J24*((1+$S$4)^4)/12*'W1'!$G$5,0))))))),(IF(AND($S$4="Multi",$R$4="FY"),ROUND(((1+$M24)^('W1'!$B$20+4)*'W1'!$G$9+(1+$M24)^('W1'!$B$20+5)*'W1'!$G$10)/12*'Pilot Project Budget'!$E24*'Pilot Project Budget'!$J24,0),(IF(AND($S$4="Multi",$R$4="PY"),ROUND($E24*$J24*((1+$M24)^4)/12*'W1'!$G$5,0),(IF(AND($S$4&lt;&gt;"Multi",$R$4="FY"),ROUND(((1+$S$4)^('W1'!$B$20+4)*'W1'!$G$9+(1+$S$4)^('W1'!$B$20+5)*'W1'!$G$10)/12*'Pilot Project Budget'!$E24*'Pilot Project Budget'!$J24,0),ROUND($E24*$J24*((1+$S$4)^4)/12*'W1'!$G$5,0))))))))</f>
        <v>0</v>
      </c>
      <c r="S24" s="188">
        <f t="shared" si="0"/>
        <v>0</v>
      </c>
      <c r="T24" s="246"/>
      <c r="U24" s="246"/>
      <c r="V24" s="246"/>
      <c r="W24" s="246"/>
      <c r="X24" s="246"/>
      <c r="Y24" s="247"/>
      <c r="Z24" s="247"/>
      <c r="AA24" s="247"/>
      <c r="AB24" s="247"/>
      <c r="AC24" s="24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idden="1" x14ac:dyDescent="0.2">
      <c r="A25" s="192">
        <v>18</v>
      </c>
      <c r="B25" s="193"/>
      <c r="C25" s="193"/>
      <c r="D25" s="194"/>
      <c r="E25" s="195"/>
      <c r="F25" s="221"/>
      <c r="G25" s="221"/>
      <c r="H25" s="221"/>
      <c r="I25" s="221"/>
      <c r="J25" s="221"/>
      <c r="K25" s="190" t="s">
        <v>176</v>
      </c>
      <c r="L25" s="190">
        <v>12</v>
      </c>
      <c r="M25" s="191">
        <v>0.03</v>
      </c>
      <c r="N25" s="187">
        <f>IF(AND($S$4="Multi",$R$4="FY"),ROUND(((1+$M25)^'W1'!$B$20*'W1'!$C$9+(1+$M25)^('W1'!$B$20+1)*'W1'!$C$10)/12*'Pilot Project Budget'!$E25*'Pilot Project Budget'!$F25,0),(IF(AND($S$4="Multi",$R$4="PY"),ROUND(E25*F25/12*'W1'!$C$5,0),(IF(AND($S$4&lt;&gt;"Multi",$R$4="FY"),ROUND(((1+$S$4)^'W1'!$B$20*'W1'!$C$9+(1+$S$4)^('W1'!$B$20+1)*'W1'!$C$10)/12*'Pilot Project Budget'!$E25*'Pilot Project Budget'!$F25,0),ROUND($E25*$F25/12*'W1'!$C$5,0))))))</f>
        <v>0</v>
      </c>
      <c r="O25" s="187">
        <f>IF('W1'!$C$4='W1'!$D$4,(IF(AND($S$4="Multi",$R$4="FY"),ROUND(((1+$M25)^('W1'!$B$20)*'W1'!$D$9+(1+$M25)^('W1'!$B$20+1)*'W1'!$D$10)/12*'Pilot Project Budget'!$E25*'Pilot Project Budget'!$G25,0),(IF(AND($S$4="Multi",$R$4="PY"),ROUND($E25*$G25*(1+M25)/12*'W1'!$D$5,0),(IF(AND($S$4&lt;&gt;"Multi",$R$4="FY"),ROUND(((1+$S$4)^('W1'!$B$20)*'W1'!$D$9+(1+$S$4)^('W1'!$B$20+1)*'W1'!$D$10)/12*'Pilot Project Budget'!$E25*'Pilot Project Budget'!$G25,0),ROUND($E25*$G25*(1+$S$4)/12*'W1'!$D$5,0))))))),(IF(AND($S$4="Multi",$R$4="FY"),ROUND(((1+$M25)^('W1'!$B$20+1)*'W1'!$D$9+(1+$M25)^('W1'!$B$20+2)*'W1'!$D$10)/12*'Pilot Project Budget'!$E25*'Pilot Project Budget'!$G25,0),(IF(AND($S$4="Multi",$R$4="PY"),ROUND($E25*$G25*(1+M25)/12*'W1'!$D$5,0),(IF(AND($S$4&lt;&gt;"Multi",$R$4="FY"),ROUND(((1+$S$4)^('W1'!$B$20+1)*'W1'!$D$9+(1+$S$4)^('W1'!$B$20+2)*'W1'!$D$10)/12*'Pilot Project Budget'!$E25*'Pilot Project Budget'!$G25,0),ROUND($E25*$G25*(1+$S$4)/12*'W1'!$D$5,0))))))))</f>
        <v>0</v>
      </c>
      <c r="P25" s="187">
        <f>IF('W1'!$C$4='W1'!$D$4,(IF(AND($S$4="Multi",$R$4="FY"),ROUND(((1+$M25)^('W1'!$B$20+1)*'W1'!$E$9+(1+$M25)^('W1'!$B$20+2)*'W1'!$E$10)/12*'Pilot Project Budget'!$E25*'Pilot Project Budget'!H25,0),(IF(AND($S$4="Multi",$R$4="PY"),ROUND($E25*H25*((1+$M25)^2)/12*'W1'!$E$5,0),(IF(AND($S$4&lt;&gt;"Multi",$R$4="FY"),ROUND(((1+$S$4)^('W1'!$B$20+1)*'W1'!$E$9+(1+$S$4)^('W1'!$B$20+2)*'W1'!$E$10)/12*'Pilot Project Budget'!$E25*'Pilot Project Budget'!H25,0),ROUND($E25*H25*((1+$S$4)^2)/12*'W1'!$E$5,0))))))),(IF(AND($S$4="Multi",$R$4="FY"),ROUND(((1+$M25)^('W1'!$B$20+2)*'W1'!$E$9+(1+$M25)^('W1'!$B$20+3)*'W1'!$E$10)/12*'Pilot Project Budget'!$E25*'Pilot Project Budget'!H25,0),(IF(AND($S$4="Multi",$R$4="PY"),ROUND($E25*H25*((1+$M25)^2)/12*'W1'!$E$5,0),(IF(AND($S$4&lt;&gt;"Multi",$R$4="FY"),ROUND(((1+$S$4)^('W1'!$B$20+2)*'W1'!$E$9+(1+$S$4)^('W1'!$B$20+3)*'W1'!$E$10)/12*'Pilot Project Budget'!$E25*'Pilot Project Budget'!H25,0),ROUND($E25*H25*((1+$S$4)^2)/12*'W1'!$E$5,0))))))))</f>
        <v>0</v>
      </c>
      <c r="Q25" s="187">
        <f>IF('W1'!$C$4='W1'!$D$4,(IF(AND($S$4="Multi",$R$4="FY"),ROUND(((1+$M25)^('W1'!$B$20+2)*'W1'!$F$9+(1+$M25)^('W1'!$B$20+3)*'W1'!$F$10)/12*'Pilot Project Budget'!$E25*'Pilot Project Budget'!$I25,0),(IF(AND($S$4="Multi",$R$4="PY"),ROUND($E25*$I25*((1+$M25)^3)/12*'W1'!$F$5,0),(IF(AND($S$4&lt;&gt;"Multi",$R$4="FY"),ROUND(((1+$S$4)^('W1'!$B$20+2)*'W1'!$F$9+(1+$S$4)^('W1'!$B$20+3)*'W1'!$F$10)/12*'Pilot Project Budget'!$E25*'Pilot Project Budget'!$I25,0),ROUND($E25*$I25*((1+$S$4)^3)/12*'W1'!$F$5,0))))))),(IF(AND($S$4="Multi",$R$4="FY"),ROUND(((1+$M25)^('W1'!$B$20+3)*'W1'!$F$9+(1+$M25)^('W1'!$B$20+4)*'W1'!$F$10)/12*'Pilot Project Budget'!$E25*'Pilot Project Budget'!$I25,0),(IF(AND($S$4="Multi",$R$4="PY"),ROUND($E25*$I25*((1+$M25)^3)/12*'W1'!$F$5,0),(IF(AND($S$4&lt;&gt;"Multi",$R$4="FY"),ROUND(((1+$S$4)^('W1'!$B$20+3)*'W1'!$F$9+(1+$S$4)^('W1'!$B$20+4)*'W1'!$F$10)/12*'Pilot Project Budget'!$E25*'Pilot Project Budget'!$I25,0),ROUND($E25*$I25*((1+$S$4)^3)/12*'W1'!$F$5,0))))))))</f>
        <v>0</v>
      </c>
      <c r="R25" s="187">
        <f>IF('W1'!$C$4='W1'!$D$4,(IF(AND($S$4="Multi",$R$4="FY"),ROUND(((1+$M25)^('W1'!$B$20+3)*'W1'!$G$9+(1+$M25)^('W1'!$B$20+4)*'W1'!$G$10)/12*'Pilot Project Budget'!$E25*'Pilot Project Budget'!$J25,0),(IF(AND($S$4="Multi",$R$4="PY"),ROUND($E25*$J25*((1+$M25)^4)/12*'W1'!$G$5,0),(IF(AND($S$4&lt;&gt;"Multi",$R$4="FY"),ROUND(((1+$S$4)^('W1'!$B$20+3)*'W1'!$G$9+(1+$S$4)^('W1'!$B$20+4)*'W1'!$G$10)/12*'Pilot Project Budget'!$E25*'Pilot Project Budget'!$J25,0),ROUND($E25*$J25*((1+$S$4)^4)/12*'W1'!$G$5,0))))))),(IF(AND($S$4="Multi",$R$4="FY"),ROUND(((1+$M25)^('W1'!$B$20+4)*'W1'!$G$9+(1+$M25)^('W1'!$B$20+5)*'W1'!$G$10)/12*'Pilot Project Budget'!$E25*'Pilot Project Budget'!$J25,0),(IF(AND($S$4="Multi",$R$4="PY"),ROUND($E25*$J25*((1+$M25)^4)/12*'W1'!$G$5,0),(IF(AND($S$4&lt;&gt;"Multi",$R$4="FY"),ROUND(((1+$S$4)^('W1'!$B$20+4)*'W1'!$G$9+(1+$S$4)^('W1'!$B$20+5)*'W1'!$G$10)/12*'Pilot Project Budget'!$E25*'Pilot Project Budget'!$J25,0),ROUND($E25*$J25*((1+$S$4)^4)/12*'W1'!$G$5,0))))))))</f>
        <v>0</v>
      </c>
      <c r="S25" s="188">
        <f t="shared" si="0"/>
        <v>0</v>
      </c>
      <c r="T25" s="246"/>
      <c r="U25" s="246"/>
      <c r="V25" s="246"/>
      <c r="W25" s="246"/>
      <c r="X25" s="246"/>
      <c r="Y25" s="247"/>
      <c r="Z25" s="247"/>
      <c r="AA25" s="247"/>
      <c r="AB25" s="247"/>
      <c r="AC25" s="24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idden="1" x14ac:dyDescent="0.2">
      <c r="A26" s="192">
        <v>19</v>
      </c>
      <c r="B26" s="193"/>
      <c r="C26" s="193"/>
      <c r="D26" s="194"/>
      <c r="E26" s="195"/>
      <c r="F26" s="221"/>
      <c r="G26" s="221"/>
      <c r="H26" s="221"/>
      <c r="I26" s="221"/>
      <c r="J26" s="221"/>
      <c r="K26" s="190" t="s">
        <v>176</v>
      </c>
      <c r="L26" s="190">
        <v>12</v>
      </c>
      <c r="M26" s="191">
        <v>0.03</v>
      </c>
      <c r="N26" s="187">
        <f>IF(AND($S$4="Multi",$R$4="FY"),ROUND(((1+$M26)^'W1'!$B$20*'W1'!$C$9+(1+$M26)^('W1'!$B$20+1)*'W1'!$C$10)/12*'Pilot Project Budget'!$E26*'Pilot Project Budget'!$F26,0),(IF(AND($S$4="Multi",$R$4="PY"),ROUND(E26*F26/12*'W1'!$C$5,0),(IF(AND($S$4&lt;&gt;"Multi",$R$4="FY"),ROUND(((1+$S$4)^'W1'!$B$20*'W1'!$C$9+(1+$S$4)^('W1'!$B$20+1)*'W1'!$C$10)/12*'Pilot Project Budget'!$E26*'Pilot Project Budget'!$F26,0),ROUND($E26*$F26/12*'W1'!$C$5,0))))))</f>
        <v>0</v>
      </c>
      <c r="O26" s="187">
        <f>IF('W1'!$C$4='W1'!$D$4,(IF(AND($S$4="Multi",$R$4="FY"),ROUND(((1+$M26)^('W1'!$B$20)*'W1'!$D$9+(1+$M26)^('W1'!$B$20+1)*'W1'!$D$10)/12*'Pilot Project Budget'!$E26*'Pilot Project Budget'!$G26,0),(IF(AND($S$4="Multi",$R$4="PY"),ROUND($E26*$G26*(1+M26)/12*'W1'!$D$5,0),(IF(AND($S$4&lt;&gt;"Multi",$R$4="FY"),ROUND(((1+$S$4)^('W1'!$B$20)*'W1'!$D$9+(1+$S$4)^('W1'!$B$20+1)*'W1'!$D$10)/12*'Pilot Project Budget'!$E26*'Pilot Project Budget'!$G26,0),ROUND($E26*$G26*(1+$S$4)/12*'W1'!$D$5,0))))))),(IF(AND($S$4="Multi",$R$4="FY"),ROUND(((1+$M26)^('W1'!$B$20+1)*'W1'!$D$9+(1+$M26)^('W1'!$B$20+2)*'W1'!$D$10)/12*'Pilot Project Budget'!$E26*'Pilot Project Budget'!$G26,0),(IF(AND($S$4="Multi",$R$4="PY"),ROUND($E26*$G26*(1+M26)/12*'W1'!$D$5,0),(IF(AND($S$4&lt;&gt;"Multi",$R$4="FY"),ROUND(((1+$S$4)^('W1'!$B$20+1)*'W1'!$D$9+(1+$S$4)^('W1'!$B$20+2)*'W1'!$D$10)/12*'Pilot Project Budget'!$E26*'Pilot Project Budget'!$G26,0),ROUND($E26*$G26*(1+$S$4)/12*'W1'!$D$5,0))))))))</f>
        <v>0</v>
      </c>
      <c r="P26" s="187">
        <f>IF('W1'!$C$4='W1'!$D$4,(IF(AND($S$4="Multi",$R$4="FY"),ROUND(((1+$M26)^('W1'!$B$20+1)*'W1'!$E$9+(1+$M26)^('W1'!$B$20+2)*'W1'!$E$10)/12*'Pilot Project Budget'!$E26*'Pilot Project Budget'!H26,0),(IF(AND($S$4="Multi",$R$4="PY"),ROUND($E26*H26*((1+$M26)^2)/12*'W1'!$E$5,0),(IF(AND($S$4&lt;&gt;"Multi",$R$4="FY"),ROUND(((1+$S$4)^('W1'!$B$20+1)*'W1'!$E$9+(1+$S$4)^('W1'!$B$20+2)*'W1'!$E$10)/12*'Pilot Project Budget'!$E26*'Pilot Project Budget'!H26,0),ROUND($E26*H26*((1+$S$4)^2)/12*'W1'!$E$5,0))))))),(IF(AND($S$4="Multi",$R$4="FY"),ROUND(((1+$M26)^('W1'!$B$20+2)*'W1'!$E$9+(1+$M26)^('W1'!$B$20+3)*'W1'!$E$10)/12*'Pilot Project Budget'!$E26*'Pilot Project Budget'!H26,0),(IF(AND($S$4="Multi",$R$4="PY"),ROUND($E26*H26*((1+$M26)^2)/12*'W1'!$E$5,0),(IF(AND($S$4&lt;&gt;"Multi",$R$4="FY"),ROUND(((1+$S$4)^('W1'!$B$20+2)*'W1'!$E$9+(1+$S$4)^('W1'!$B$20+3)*'W1'!$E$10)/12*'Pilot Project Budget'!$E26*'Pilot Project Budget'!H26,0),ROUND($E26*H26*((1+$S$4)^2)/12*'W1'!$E$5,0))))))))</f>
        <v>0</v>
      </c>
      <c r="Q26" s="187">
        <f>IF('W1'!$C$4='W1'!$D$4,(IF(AND($S$4="Multi",$R$4="FY"),ROUND(((1+$M26)^('W1'!$B$20+2)*'W1'!$F$9+(1+$M26)^('W1'!$B$20+3)*'W1'!$F$10)/12*'Pilot Project Budget'!$E26*'Pilot Project Budget'!$I26,0),(IF(AND($S$4="Multi",$R$4="PY"),ROUND($E26*$I26*((1+$M26)^3)/12*'W1'!$F$5,0),(IF(AND($S$4&lt;&gt;"Multi",$R$4="FY"),ROUND(((1+$S$4)^('W1'!$B$20+2)*'W1'!$F$9+(1+$S$4)^('W1'!$B$20+3)*'W1'!$F$10)/12*'Pilot Project Budget'!$E26*'Pilot Project Budget'!$I26,0),ROUND($E26*$I26*((1+$S$4)^3)/12*'W1'!$F$5,0))))))),(IF(AND($S$4="Multi",$R$4="FY"),ROUND(((1+$M26)^('W1'!$B$20+3)*'W1'!$F$9+(1+$M26)^('W1'!$B$20+4)*'W1'!$F$10)/12*'Pilot Project Budget'!$E26*'Pilot Project Budget'!$I26,0),(IF(AND($S$4="Multi",$R$4="PY"),ROUND($E26*$I26*((1+$M26)^3)/12*'W1'!$F$5,0),(IF(AND($S$4&lt;&gt;"Multi",$R$4="FY"),ROUND(((1+$S$4)^('W1'!$B$20+3)*'W1'!$F$9+(1+$S$4)^('W1'!$B$20+4)*'W1'!$F$10)/12*'Pilot Project Budget'!$E26*'Pilot Project Budget'!$I26,0),ROUND($E26*$I26*((1+$S$4)^3)/12*'W1'!$F$5,0))))))))</f>
        <v>0</v>
      </c>
      <c r="R26" s="187">
        <f>IF('W1'!$C$4='W1'!$D$4,(IF(AND($S$4="Multi",$R$4="FY"),ROUND(((1+$M26)^('W1'!$B$20+3)*'W1'!$G$9+(1+$M26)^('W1'!$B$20+4)*'W1'!$G$10)/12*'Pilot Project Budget'!$E26*'Pilot Project Budget'!$J26,0),(IF(AND($S$4="Multi",$R$4="PY"),ROUND($E26*$J26*((1+$M26)^4)/12*'W1'!$G$5,0),(IF(AND($S$4&lt;&gt;"Multi",$R$4="FY"),ROUND(((1+$S$4)^('W1'!$B$20+3)*'W1'!$G$9+(1+$S$4)^('W1'!$B$20+4)*'W1'!$G$10)/12*'Pilot Project Budget'!$E26*'Pilot Project Budget'!$J26,0),ROUND($E26*$J26*((1+$S$4)^4)/12*'W1'!$G$5,0))))))),(IF(AND($S$4="Multi",$R$4="FY"),ROUND(((1+$M26)^('W1'!$B$20+4)*'W1'!$G$9+(1+$M26)^('W1'!$B$20+5)*'W1'!$G$10)/12*'Pilot Project Budget'!$E26*'Pilot Project Budget'!$J26,0),(IF(AND($S$4="Multi",$R$4="PY"),ROUND($E26*$J26*((1+$M26)^4)/12*'W1'!$G$5,0),(IF(AND($S$4&lt;&gt;"Multi",$R$4="FY"),ROUND(((1+$S$4)^('W1'!$B$20+4)*'W1'!$G$9+(1+$S$4)^('W1'!$B$20+5)*'W1'!$G$10)/12*'Pilot Project Budget'!$E26*'Pilot Project Budget'!$J26,0),ROUND($E26*$J26*((1+$S$4)^4)/12*'W1'!$G$5,0))))))))</f>
        <v>0</v>
      </c>
      <c r="S26" s="188">
        <f t="shared" si="0"/>
        <v>0</v>
      </c>
      <c r="T26" s="246"/>
      <c r="U26" s="246"/>
      <c r="V26" s="246"/>
      <c r="W26" s="246"/>
      <c r="X26" s="246"/>
      <c r="Y26" s="247"/>
      <c r="Z26" s="247"/>
      <c r="AA26" s="247"/>
      <c r="AB26" s="247"/>
      <c r="AC26" s="24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idden="1" x14ac:dyDescent="0.2">
      <c r="A27" s="192">
        <v>20</v>
      </c>
      <c r="B27" s="193"/>
      <c r="C27" s="193"/>
      <c r="D27" s="194"/>
      <c r="E27" s="195"/>
      <c r="F27" s="221"/>
      <c r="G27" s="221"/>
      <c r="H27" s="221"/>
      <c r="I27" s="221"/>
      <c r="J27" s="221"/>
      <c r="K27" s="190" t="s">
        <v>176</v>
      </c>
      <c r="L27" s="190">
        <v>12</v>
      </c>
      <c r="M27" s="191">
        <v>0.03</v>
      </c>
      <c r="N27" s="187">
        <f>IF(AND($S$4="Multi",$R$4="FY"),ROUND(((1+$M27)^'W1'!$B$20*'W1'!$C$9+(1+$M27)^('W1'!$B$20+1)*'W1'!$C$10)/12*'Pilot Project Budget'!$E27*'Pilot Project Budget'!$F27,0),(IF(AND($S$4="Multi",$R$4="PY"),ROUND(E27*F27/12*'W1'!$C$5,0),(IF(AND($S$4&lt;&gt;"Multi",$R$4="FY"),ROUND(((1+$S$4)^'W1'!$B$20*'W1'!$C$9+(1+$S$4)^('W1'!$B$20+1)*'W1'!$C$10)/12*'Pilot Project Budget'!$E27*'Pilot Project Budget'!$F27,0),ROUND($E27*$F27/12*'W1'!$C$5,0))))))</f>
        <v>0</v>
      </c>
      <c r="O27" s="187">
        <f>IF('W1'!$C$4='W1'!$D$4,(IF(AND($S$4="Multi",$R$4="FY"),ROUND(((1+$M27)^('W1'!$B$20)*'W1'!$D$9+(1+$M27)^('W1'!$B$20+1)*'W1'!$D$10)/12*'Pilot Project Budget'!$E27*'Pilot Project Budget'!$G27,0),(IF(AND($S$4="Multi",$R$4="PY"),ROUND($E27*$G27*(1+M27)/12*'W1'!$D$5,0),(IF(AND($S$4&lt;&gt;"Multi",$R$4="FY"),ROUND(((1+$S$4)^('W1'!$B$20)*'W1'!$D$9+(1+$S$4)^('W1'!$B$20+1)*'W1'!$D$10)/12*'Pilot Project Budget'!$E27*'Pilot Project Budget'!$G27,0),ROUND($E27*$G27*(1+$S$4)/12*'W1'!$D$5,0))))))),(IF(AND($S$4="Multi",$R$4="FY"),ROUND(((1+$M27)^('W1'!$B$20+1)*'W1'!$D$9+(1+$M27)^('W1'!$B$20+2)*'W1'!$D$10)/12*'Pilot Project Budget'!$E27*'Pilot Project Budget'!$G27,0),(IF(AND($S$4="Multi",$R$4="PY"),ROUND($E27*$G27*(1+M27)/12*'W1'!$D$5,0),(IF(AND($S$4&lt;&gt;"Multi",$R$4="FY"),ROUND(((1+$S$4)^('W1'!$B$20+1)*'W1'!$D$9+(1+$S$4)^('W1'!$B$20+2)*'W1'!$D$10)/12*'Pilot Project Budget'!$E27*'Pilot Project Budget'!$G27,0),ROUND($E27*$G27*(1+$S$4)/12*'W1'!$D$5,0))))))))</f>
        <v>0</v>
      </c>
      <c r="P27" s="187">
        <f>IF('W1'!$C$4='W1'!$D$4,(IF(AND($S$4="Multi",$R$4="FY"),ROUND(((1+$M27)^('W1'!$B$20+1)*'W1'!$E$9+(1+$M27)^('W1'!$B$20+2)*'W1'!$E$10)/12*'Pilot Project Budget'!$E27*'Pilot Project Budget'!H27,0),(IF(AND($S$4="Multi",$R$4="PY"),ROUND($E27*H27*((1+$M27)^2)/12*'W1'!$E$5,0),(IF(AND($S$4&lt;&gt;"Multi",$R$4="FY"),ROUND(((1+$S$4)^('W1'!$B$20+1)*'W1'!$E$9+(1+$S$4)^('W1'!$B$20+2)*'W1'!$E$10)/12*'Pilot Project Budget'!$E27*'Pilot Project Budget'!H27,0),ROUND($E27*H27*((1+$S$4)^2)/12*'W1'!$E$5,0))))))),(IF(AND($S$4="Multi",$R$4="FY"),ROUND(((1+$M27)^('W1'!$B$20+2)*'W1'!$E$9+(1+$M27)^('W1'!$B$20+3)*'W1'!$E$10)/12*'Pilot Project Budget'!$E27*'Pilot Project Budget'!H27,0),(IF(AND($S$4="Multi",$R$4="PY"),ROUND($E27*H27*((1+$M27)^2)/12*'W1'!$E$5,0),(IF(AND($S$4&lt;&gt;"Multi",$R$4="FY"),ROUND(((1+$S$4)^('W1'!$B$20+2)*'W1'!$E$9+(1+$S$4)^('W1'!$B$20+3)*'W1'!$E$10)/12*'Pilot Project Budget'!$E27*'Pilot Project Budget'!H27,0),ROUND($E27*H27*((1+$S$4)^2)/12*'W1'!$E$5,0))))))))</f>
        <v>0</v>
      </c>
      <c r="Q27" s="187">
        <f>IF('W1'!$C$4='W1'!$D$4,(IF(AND($S$4="Multi",$R$4="FY"),ROUND(((1+$M27)^('W1'!$B$20+2)*'W1'!$F$9+(1+$M27)^('W1'!$B$20+3)*'W1'!$F$10)/12*'Pilot Project Budget'!$E27*'Pilot Project Budget'!$I27,0),(IF(AND($S$4="Multi",$R$4="PY"),ROUND($E27*$I27*((1+$M27)^3)/12*'W1'!$F$5,0),(IF(AND($S$4&lt;&gt;"Multi",$R$4="FY"),ROUND(((1+$S$4)^('W1'!$B$20+2)*'W1'!$F$9+(1+$S$4)^('W1'!$B$20+3)*'W1'!$F$10)/12*'Pilot Project Budget'!$E27*'Pilot Project Budget'!$I27,0),ROUND($E27*$I27*((1+$S$4)^3)/12*'W1'!$F$5,0))))))),(IF(AND($S$4="Multi",$R$4="FY"),ROUND(((1+$M27)^('W1'!$B$20+3)*'W1'!$F$9+(1+$M27)^('W1'!$B$20+4)*'W1'!$F$10)/12*'Pilot Project Budget'!$E27*'Pilot Project Budget'!$I27,0),(IF(AND($S$4="Multi",$R$4="PY"),ROUND($E27*$I27*((1+$M27)^3)/12*'W1'!$F$5,0),(IF(AND($S$4&lt;&gt;"Multi",$R$4="FY"),ROUND(((1+$S$4)^('W1'!$B$20+3)*'W1'!$F$9+(1+$S$4)^('W1'!$B$20+4)*'W1'!$F$10)/12*'Pilot Project Budget'!$E27*'Pilot Project Budget'!$I27,0),ROUND($E27*$I27*((1+$S$4)^3)/12*'W1'!$F$5,0))))))))</f>
        <v>0</v>
      </c>
      <c r="R27" s="187">
        <f>IF('W1'!$C$4='W1'!$D$4,(IF(AND($S$4="Multi",$R$4="FY"),ROUND(((1+$M27)^('W1'!$B$20+3)*'W1'!$G$9+(1+$M27)^('W1'!$B$20+4)*'W1'!$G$10)/12*'Pilot Project Budget'!$E27*'Pilot Project Budget'!$J27,0),(IF(AND($S$4="Multi",$R$4="PY"),ROUND($E27*$J27*((1+$M27)^4)/12*'W1'!$G$5,0),(IF(AND($S$4&lt;&gt;"Multi",$R$4="FY"),ROUND(((1+$S$4)^('W1'!$B$20+3)*'W1'!$G$9+(1+$S$4)^('W1'!$B$20+4)*'W1'!$G$10)/12*'Pilot Project Budget'!$E27*'Pilot Project Budget'!$J27,0),ROUND($E27*$J27*((1+$S$4)^4)/12*'W1'!$G$5,0))))))),(IF(AND($S$4="Multi",$R$4="FY"),ROUND(((1+$M27)^('W1'!$B$20+4)*'W1'!$G$9+(1+$M27)^('W1'!$B$20+5)*'W1'!$G$10)/12*'Pilot Project Budget'!$E27*'Pilot Project Budget'!$J27,0),(IF(AND($S$4="Multi",$R$4="PY"),ROUND($E27*$J27*((1+$M27)^4)/12*'W1'!$G$5,0),(IF(AND($S$4&lt;&gt;"Multi",$R$4="FY"),ROUND(((1+$S$4)^('W1'!$B$20+4)*'W1'!$G$9+(1+$S$4)^('W1'!$B$20+5)*'W1'!$G$10)/12*'Pilot Project Budget'!$E27*'Pilot Project Budget'!$J27,0),ROUND($E27*$J27*((1+$S$4)^4)/12*'W1'!$G$5,0))))))))</f>
        <v>0</v>
      </c>
      <c r="S27" s="188">
        <f t="shared" si="0"/>
        <v>0</v>
      </c>
      <c r="T27" s="246"/>
      <c r="U27" s="246"/>
      <c r="V27" s="246"/>
      <c r="W27" s="246"/>
      <c r="X27" s="246"/>
      <c r="Y27" s="247"/>
      <c r="Z27" s="247"/>
      <c r="AA27" s="247"/>
      <c r="AB27" s="247"/>
      <c r="AC27" s="24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idden="1" x14ac:dyDescent="0.2">
      <c r="A28" s="192">
        <v>21</v>
      </c>
      <c r="B28" s="193"/>
      <c r="C28" s="193"/>
      <c r="D28" s="194"/>
      <c r="E28" s="195"/>
      <c r="F28" s="221"/>
      <c r="G28" s="221"/>
      <c r="H28" s="221"/>
      <c r="I28" s="221"/>
      <c r="J28" s="221"/>
      <c r="K28" s="190" t="s">
        <v>176</v>
      </c>
      <c r="L28" s="190">
        <v>12</v>
      </c>
      <c r="M28" s="191">
        <v>0.03</v>
      </c>
      <c r="N28" s="187">
        <f>IF(AND($S$4="Multi",$R$4="FY"),ROUND(((1+$M28)^'W1'!$B$20*'W1'!$C$9+(1+$M28)^('W1'!$B$20+1)*'W1'!$C$10)/12*'Pilot Project Budget'!$E28*'Pilot Project Budget'!$F28,0),(IF(AND($S$4="Multi",$R$4="PY"),ROUND(E28*F28/12*'W1'!$C$5,0),(IF(AND($S$4&lt;&gt;"Multi",$R$4="FY"),ROUND(((1+$S$4)^'W1'!$B$20*'W1'!$C$9+(1+$S$4)^('W1'!$B$20+1)*'W1'!$C$10)/12*'Pilot Project Budget'!$E28*'Pilot Project Budget'!$F28,0),ROUND($E28*$F28/12*'W1'!$C$5,0))))))</f>
        <v>0</v>
      </c>
      <c r="O28" s="187">
        <f>IF('W1'!$C$4='W1'!$D$4,(IF(AND($S$4="Multi",$R$4="FY"),ROUND(((1+$M28)^('W1'!$B$20)*'W1'!$D$9+(1+$M28)^('W1'!$B$20+1)*'W1'!$D$10)/12*'Pilot Project Budget'!$E28*'Pilot Project Budget'!$G28,0),(IF(AND($S$4="Multi",$R$4="PY"),ROUND($E28*$G28*(1+M28)/12*'W1'!$D$5,0),(IF(AND($S$4&lt;&gt;"Multi",$R$4="FY"),ROUND(((1+$S$4)^('W1'!$B$20)*'W1'!$D$9+(1+$S$4)^('W1'!$B$20+1)*'W1'!$D$10)/12*'Pilot Project Budget'!$E28*'Pilot Project Budget'!$G28,0),ROUND($E28*$G28*(1+$S$4)/12*'W1'!$D$5,0))))))),(IF(AND($S$4="Multi",$R$4="FY"),ROUND(((1+$M28)^('W1'!$B$20+1)*'W1'!$D$9+(1+$M28)^('W1'!$B$20+2)*'W1'!$D$10)/12*'Pilot Project Budget'!$E28*'Pilot Project Budget'!$G28,0),(IF(AND($S$4="Multi",$R$4="PY"),ROUND($E28*$G28*(1+M28)/12*'W1'!$D$5,0),(IF(AND($S$4&lt;&gt;"Multi",$R$4="FY"),ROUND(((1+$S$4)^('W1'!$B$20+1)*'W1'!$D$9+(1+$S$4)^('W1'!$B$20+2)*'W1'!$D$10)/12*'Pilot Project Budget'!$E28*'Pilot Project Budget'!$G28,0),ROUND($E28*$G28*(1+$S$4)/12*'W1'!$D$5,0))))))))</f>
        <v>0</v>
      </c>
      <c r="P28" s="187">
        <f>IF('W1'!$C$4='W1'!$D$4,(IF(AND($S$4="Multi",$R$4="FY"),ROUND(((1+$M28)^('W1'!$B$20+1)*'W1'!$E$9+(1+$M28)^('W1'!$B$20+2)*'W1'!$E$10)/12*'Pilot Project Budget'!$E28*'Pilot Project Budget'!H28,0),(IF(AND($S$4="Multi",$R$4="PY"),ROUND($E28*H28*((1+$M28)^2)/12*'W1'!$E$5,0),(IF(AND($S$4&lt;&gt;"Multi",$R$4="FY"),ROUND(((1+$S$4)^('W1'!$B$20+1)*'W1'!$E$9+(1+$S$4)^('W1'!$B$20+2)*'W1'!$E$10)/12*'Pilot Project Budget'!$E28*'Pilot Project Budget'!H28,0),ROUND($E28*H28*((1+$S$4)^2)/12*'W1'!$E$5,0))))))),(IF(AND($S$4="Multi",$R$4="FY"),ROUND(((1+$M28)^('W1'!$B$20+2)*'W1'!$E$9+(1+$M28)^('W1'!$B$20+3)*'W1'!$E$10)/12*'Pilot Project Budget'!$E28*'Pilot Project Budget'!H28,0),(IF(AND($S$4="Multi",$R$4="PY"),ROUND($E28*H28*((1+$M28)^2)/12*'W1'!$E$5,0),(IF(AND($S$4&lt;&gt;"Multi",$R$4="FY"),ROUND(((1+$S$4)^('W1'!$B$20+2)*'W1'!$E$9+(1+$S$4)^('W1'!$B$20+3)*'W1'!$E$10)/12*'Pilot Project Budget'!$E28*'Pilot Project Budget'!H28,0),ROUND($E28*H28*((1+$S$4)^2)/12*'W1'!$E$5,0))))))))</f>
        <v>0</v>
      </c>
      <c r="Q28" s="187">
        <f>IF('W1'!$C$4='W1'!$D$4,(IF(AND($S$4="Multi",$R$4="FY"),ROUND(((1+$M28)^('W1'!$B$20+2)*'W1'!$F$9+(1+$M28)^('W1'!$B$20+3)*'W1'!$F$10)/12*'Pilot Project Budget'!$E28*'Pilot Project Budget'!$I28,0),(IF(AND($S$4="Multi",$R$4="PY"),ROUND($E28*$I28*((1+$M28)^3)/12*'W1'!$F$5,0),(IF(AND($S$4&lt;&gt;"Multi",$R$4="FY"),ROUND(((1+$S$4)^('W1'!$B$20+2)*'W1'!$F$9+(1+$S$4)^('W1'!$B$20+3)*'W1'!$F$10)/12*'Pilot Project Budget'!$E28*'Pilot Project Budget'!$I28,0),ROUND($E28*$I28*((1+$S$4)^3)/12*'W1'!$F$5,0))))))),(IF(AND($S$4="Multi",$R$4="FY"),ROUND(((1+$M28)^('W1'!$B$20+3)*'W1'!$F$9+(1+$M28)^('W1'!$B$20+4)*'W1'!$F$10)/12*'Pilot Project Budget'!$E28*'Pilot Project Budget'!$I28,0),(IF(AND($S$4="Multi",$R$4="PY"),ROUND($E28*$I28*((1+$M28)^3)/12*'W1'!$F$5,0),(IF(AND($S$4&lt;&gt;"Multi",$R$4="FY"),ROUND(((1+$S$4)^('W1'!$B$20+3)*'W1'!$F$9+(1+$S$4)^('W1'!$B$20+4)*'W1'!$F$10)/12*'Pilot Project Budget'!$E28*'Pilot Project Budget'!$I28,0),ROUND($E28*$I28*((1+$S$4)^3)/12*'W1'!$F$5,0))))))))</f>
        <v>0</v>
      </c>
      <c r="R28" s="187">
        <f>IF('W1'!$C$4='W1'!$D$4,(IF(AND($S$4="Multi",$R$4="FY"),ROUND(((1+$M28)^('W1'!$B$20+3)*'W1'!$G$9+(1+$M28)^('W1'!$B$20+4)*'W1'!$G$10)/12*'Pilot Project Budget'!$E28*'Pilot Project Budget'!$J28,0),(IF(AND($S$4="Multi",$R$4="PY"),ROUND($E28*$J28*((1+$M28)^4)/12*'W1'!$G$5,0),(IF(AND($S$4&lt;&gt;"Multi",$R$4="FY"),ROUND(((1+$S$4)^('W1'!$B$20+3)*'W1'!$G$9+(1+$S$4)^('W1'!$B$20+4)*'W1'!$G$10)/12*'Pilot Project Budget'!$E28*'Pilot Project Budget'!$J28,0),ROUND($E28*$J28*((1+$S$4)^4)/12*'W1'!$G$5,0))))))),(IF(AND($S$4="Multi",$R$4="FY"),ROUND(((1+$M28)^('W1'!$B$20+4)*'W1'!$G$9+(1+$M28)^('W1'!$B$20+5)*'W1'!$G$10)/12*'Pilot Project Budget'!$E28*'Pilot Project Budget'!$J28,0),(IF(AND($S$4="Multi",$R$4="PY"),ROUND($E28*$J28*((1+$M28)^4)/12*'W1'!$G$5,0),(IF(AND($S$4&lt;&gt;"Multi",$R$4="FY"),ROUND(((1+$S$4)^('W1'!$B$20+4)*'W1'!$G$9+(1+$S$4)^('W1'!$B$20+5)*'W1'!$G$10)/12*'Pilot Project Budget'!$E28*'Pilot Project Budget'!$J28,0),ROUND($E28*$J28*((1+$S$4)^4)/12*'W1'!$G$5,0))))))))</f>
        <v>0</v>
      </c>
      <c r="S28" s="188">
        <f t="shared" si="0"/>
        <v>0</v>
      </c>
      <c r="T28" s="246"/>
      <c r="U28" s="246"/>
      <c r="V28" s="246"/>
      <c r="W28" s="246"/>
      <c r="X28" s="246"/>
      <c r="Y28" s="247"/>
      <c r="Z28" s="247"/>
      <c r="AA28" s="247"/>
      <c r="AB28" s="247"/>
      <c r="AC28" s="24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idden="1" x14ac:dyDescent="0.2">
      <c r="A29" s="192">
        <v>22</v>
      </c>
      <c r="B29" s="193"/>
      <c r="C29" s="193"/>
      <c r="D29" s="194"/>
      <c r="E29" s="195"/>
      <c r="F29" s="221"/>
      <c r="G29" s="221"/>
      <c r="H29" s="221"/>
      <c r="I29" s="221"/>
      <c r="J29" s="221"/>
      <c r="K29" s="190" t="s">
        <v>176</v>
      </c>
      <c r="L29" s="190">
        <v>12</v>
      </c>
      <c r="M29" s="191">
        <v>0.03</v>
      </c>
      <c r="N29" s="187">
        <f>IF(AND($S$4="Multi",$R$4="FY"),ROUND(((1+$M29)^'W1'!$B$20*'W1'!$C$9+(1+$M29)^('W1'!$B$20+1)*'W1'!$C$10)/12*'Pilot Project Budget'!$E29*'Pilot Project Budget'!$F29,0),(IF(AND($S$4="Multi",$R$4="PY"),ROUND(E29*F29/12*'W1'!$C$5,0),(IF(AND($S$4&lt;&gt;"Multi",$R$4="FY"),ROUND(((1+$S$4)^'W1'!$B$20*'W1'!$C$9+(1+$S$4)^('W1'!$B$20+1)*'W1'!$C$10)/12*'Pilot Project Budget'!$E29*'Pilot Project Budget'!$F29,0),ROUND($E29*$F29/12*'W1'!$C$5,0))))))</f>
        <v>0</v>
      </c>
      <c r="O29" s="187">
        <f>IF('W1'!$C$4='W1'!$D$4,(IF(AND($S$4="Multi",$R$4="FY"),ROUND(((1+$M29)^('W1'!$B$20)*'W1'!$D$9+(1+$M29)^('W1'!$B$20+1)*'W1'!$D$10)/12*'Pilot Project Budget'!$E29*'Pilot Project Budget'!$G29,0),(IF(AND($S$4="Multi",$R$4="PY"),ROUND($E29*$G29*(1+M29)/12*'W1'!$D$5,0),(IF(AND($S$4&lt;&gt;"Multi",$R$4="FY"),ROUND(((1+$S$4)^('W1'!$B$20)*'W1'!$D$9+(1+$S$4)^('W1'!$B$20+1)*'W1'!$D$10)/12*'Pilot Project Budget'!$E29*'Pilot Project Budget'!$G29,0),ROUND($E29*$G29*(1+$S$4)/12*'W1'!$D$5,0))))))),(IF(AND($S$4="Multi",$R$4="FY"),ROUND(((1+$M29)^('W1'!$B$20+1)*'W1'!$D$9+(1+$M29)^('W1'!$B$20+2)*'W1'!$D$10)/12*'Pilot Project Budget'!$E29*'Pilot Project Budget'!$G29,0),(IF(AND($S$4="Multi",$R$4="PY"),ROUND($E29*$G29*(1+M29)/12*'W1'!$D$5,0),(IF(AND($S$4&lt;&gt;"Multi",$R$4="FY"),ROUND(((1+$S$4)^('W1'!$B$20+1)*'W1'!$D$9+(1+$S$4)^('W1'!$B$20+2)*'W1'!$D$10)/12*'Pilot Project Budget'!$E29*'Pilot Project Budget'!$G29,0),ROUND($E29*$G29*(1+$S$4)/12*'W1'!$D$5,0))))))))</f>
        <v>0</v>
      </c>
      <c r="P29" s="187">
        <f>IF('W1'!$C$4='W1'!$D$4,(IF(AND($S$4="Multi",$R$4="FY"),ROUND(((1+$M29)^('W1'!$B$20+1)*'W1'!$E$9+(1+$M29)^('W1'!$B$20+2)*'W1'!$E$10)/12*'Pilot Project Budget'!$E29*'Pilot Project Budget'!H29,0),(IF(AND($S$4="Multi",$R$4="PY"),ROUND($E29*H29*((1+$M29)^2)/12*'W1'!$E$5,0),(IF(AND($S$4&lt;&gt;"Multi",$R$4="FY"),ROUND(((1+$S$4)^('W1'!$B$20+1)*'W1'!$E$9+(1+$S$4)^('W1'!$B$20+2)*'W1'!$E$10)/12*'Pilot Project Budget'!$E29*'Pilot Project Budget'!H29,0),ROUND($E29*H29*((1+$S$4)^2)/12*'W1'!$E$5,0))))))),(IF(AND($S$4="Multi",$R$4="FY"),ROUND(((1+$M29)^('W1'!$B$20+2)*'W1'!$E$9+(1+$M29)^('W1'!$B$20+3)*'W1'!$E$10)/12*'Pilot Project Budget'!$E29*'Pilot Project Budget'!H29,0),(IF(AND($S$4="Multi",$R$4="PY"),ROUND($E29*H29*((1+$M29)^2)/12*'W1'!$E$5,0),(IF(AND($S$4&lt;&gt;"Multi",$R$4="FY"),ROUND(((1+$S$4)^('W1'!$B$20+2)*'W1'!$E$9+(1+$S$4)^('W1'!$B$20+3)*'W1'!$E$10)/12*'Pilot Project Budget'!$E29*'Pilot Project Budget'!H29,0),ROUND($E29*H29*((1+$S$4)^2)/12*'W1'!$E$5,0))))))))</f>
        <v>0</v>
      </c>
      <c r="Q29" s="187">
        <f>IF('W1'!$C$4='W1'!$D$4,(IF(AND($S$4="Multi",$R$4="FY"),ROUND(((1+$M29)^('W1'!$B$20+2)*'W1'!$F$9+(1+$M29)^('W1'!$B$20+3)*'W1'!$F$10)/12*'Pilot Project Budget'!$E29*'Pilot Project Budget'!$I29,0),(IF(AND($S$4="Multi",$R$4="PY"),ROUND($E29*$I29*((1+$M29)^3)/12*'W1'!$F$5,0),(IF(AND($S$4&lt;&gt;"Multi",$R$4="FY"),ROUND(((1+$S$4)^('W1'!$B$20+2)*'W1'!$F$9+(1+$S$4)^('W1'!$B$20+3)*'W1'!$F$10)/12*'Pilot Project Budget'!$E29*'Pilot Project Budget'!$I29,0),ROUND($E29*$I29*((1+$S$4)^3)/12*'W1'!$F$5,0))))))),(IF(AND($S$4="Multi",$R$4="FY"),ROUND(((1+$M29)^('W1'!$B$20+3)*'W1'!$F$9+(1+$M29)^('W1'!$B$20+4)*'W1'!$F$10)/12*'Pilot Project Budget'!$E29*'Pilot Project Budget'!$I29,0),(IF(AND($S$4="Multi",$R$4="PY"),ROUND($E29*$I29*((1+$M29)^3)/12*'W1'!$F$5,0),(IF(AND($S$4&lt;&gt;"Multi",$R$4="FY"),ROUND(((1+$S$4)^('W1'!$B$20+3)*'W1'!$F$9+(1+$S$4)^('W1'!$B$20+4)*'W1'!$F$10)/12*'Pilot Project Budget'!$E29*'Pilot Project Budget'!$I29,0),ROUND($E29*$I29*((1+$S$4)^3)/12*'W1'!$F$5,0))))))))</f>
        <v>0</v>
      </c>
      <c r="R29" s="187">
        <f>IF('W1'!$C$4='W1'!$D$4,(IF(AND($S$4="Multi",$R$4="FY"),ROUND(((1+$M29)^('W1'!$B$20+3)*'W1'!$G$9+(1+$M29)^('W1'!$B$20+4)*'W1'!$G$10)/12*'Pilot Project Budget'!$E29*'Pilot Project Budget'!$J29,0),(IF(AND($S$4="Multi",$R$4="PY"),ROUND($E29*$J29*((1+$M29)^4)/12*'W1'!$G$5,0),(IF(AND($S$4&lt;&gt;"Multi",$R$4="FY"),ROUND(((1+$S$4)^('W1'!$B$20+3)*'W1'!$G$9+(1+$S$4)^('W1'!$B$20+4)*'W1'!$G$10)/12*'Pilot Project Budget'!$E29*'Pilot Project Budget'!$J29,0),ROUND($E29*$J29*((1+$S$4)^4)/12*'W1'!$G$5,0))))))),(IF(AND($S$4="Multi",$R$4="FY"),ROUND(((1+$M29)^('W1'!$B$20+4)*'W1'!$G$9+(1+$M29)^('W1'!$B$20+5)*'W1'!$G$10)/12*'Pilot Project Budget'!$E29*'Pilot Project Budget'!$J29,0),(IF(AND($S$4="Multi",$R$4="PY"),ROUND($E29*$J29*((1+$M29)^4)/12*'W1'!$G$5,0),(IF(AND($S$4&lt;&gt;"Multi",$R$4="FY"),ROUND(((1+$S$4)^('W1'!$B$20+4)*'W1'!$G$9+(1+$S$4)^('W1'!$B$20+5)*'W1'!$G$10)/12*'Pilot Project Budget'!$E29*'Pilot Project Budget'!$J29,0),ROUND($E29*$J29*((1+$S$4)^4)/12*'W1'!$G$5,0))))))))</f>
        <v>0</v>
      </c>
      <c r="S29" s="188">
        <f t="shared" si="0"/>
        <v>0</v>
      </c>
      <c r="T29" s="246"/>
      <c r="U29" s="246"/>
      <c r="V29" s="246"/>
      <c r="W29" s="246"/>
      <c r="X29" s="246"/>
      <c r="Y29" s="247"/>
      <c r="Z29" s="247"/>
      <c r="AA29" s="247"/>
      <c r="AB29" s="247"/>
      <c r="AC29" s="24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idden="1" x14ac:dyDescent="0.2">
      <c r="A30" s="192">
        <v>23</v>
      </c>
      <c r="B30" s="193"/>
      <c r="C30" s="193"/>
      <c r="D30" s="194"/>
      <c r="E30" s="195"/>
      <c r="F30" s="221"/>
      <c r="G30" s="221"/>
      <c r="H30" s="221"/>
      <c r="I30" s="221"/>
      <c r="J30" s="221"/>
      <c r="K30" s="190" t="s">
        <v>176</v>
      </c>
      <c r="L30" s="190">
        <v>12</v>
      </c>
      <c r="M30" s="191">
        <v>0.03</v>
      </c>
      <c r="N30" s="187">
        <f>IF(AND($S$4="Multi",$R$4="FY"),ROUND(((1+$M30)^'W1'!$B$20*'W1'!$C$9+(1+$M30)^('W1'!$B$20+1)*'W1'!$C$10)/12*'Pilot Project Budget'!$E30*'Pilot Project Budget'!$F30,0),(IF(AND($S$4="Multi",$R$4="PY"),ROUND(E30*F30/12*'W1'!$C$5,0),(IF(AND($S$4&lt;&gt;"Multi",$R$4="FY"),ROUND(((1+$S$4)^'W1'!$B$20*'W1'!$C$9+(1+$S$4)^('W1'!$B$20+1)*'W1'!$C$10)/12*'Pilot Project Budget'!$E30*'Pilot Project Budget'!$F30,0),ROUND($E30*$F30/12*'W1'!$C$5,0))))))</f>
        <v>0</v>
      </c>
      <c r="O30" s="187">
        <f>IF('W1'!$C$4='W1'!$D$4,(IF(AND($S$4="Multi",$R$4="FY"),ROUND(((1+$M30)^('W1'!$B$20)*'W1'!$D$9+(1+$M30)^('W1'!$B$20+1)*'W1'!$D$10)/12*'Pilot Project Budget'!$E30*'Pilot Project Budget'!$G30,0),(IF(AND($S$4="Multi",$R$4="PY"),ROUND($E30*$G30*(1+M30)/12*'W1'!$D$5,0),(IF(AND($S$4&lt;&gt;"Multi",$R$4="FY"),ROUND(((1+$S$4)^('W1'!$B$20)*'W1'!$D$9+(1+$S$4)^('W1'!$B$20+1)*'W1'!$D$10)/12*'Pilot Project Budget'!$E30*'Pilot Project Budget'!$G30,0),ROUND($E30*$G30*(1+$S$4)/12*'W1'!$D$5,0))))))),(IF(AND($S$4="Multi",$R$4="FY"),ROUND(((1+$M30)^('W1'!$B$20+1)*'W1'!$D$9+(1+$M30)^('W1'!$B$20+2)*'W1'!$D$10)/12*'Pilot Project Budget'!$E30*'Pilot Project Budget'!$G30,0),(IF(AND($S$4="Multi",$R$4="PY"),ROUND($E30*$G30*(1+M30)/12*'W1'!$D$5,0),(IF(AND($S$4&lt;&gt;"Multi",$R$4="FY"),ROUND(((1+$S$4)^('W1'!$B$20+1)*'W1'!$D$9+(1+$S$4)^('W1'!$B$20+2)*'W1'!$D$10)/12*'Pilot Project Budget'!$E30*'Pilot Project Budget'!$G30,0),ROUND($E30*$G30*(1+$S$4)/12*'W1'!$D$5,0))))))))</f>
        <v>0</v>
      </c>
      <c r="P30" s="187">
        <f>IF('W1'!$C$4='W1'!$D$4,(IF(AND($S$4="Multi",$R$4="FY"),ROUND(((1+$M30)^('W1'!$B$20+1)*'W1'!$E$9+(1+$M30)^('W1'!$B$20+2)*'W1'!$E$10)/12*'Pilot Project Budget'!$E30*'Pilot Project Budget'!H30,0),(IF(AND($S$4="Multi",$R$4="PY"),ROUND($E30*H30*((1+$M30)^2)/12*'W1'!$E$5,0),(IF(AND($S$4&lt;&gt;"Multi",$R$4="FY"),ROUND(((1+$S$4)^('W1'!$B$20+1)*'W1'!$E$9+(1+$S$4)^('W1'!$B$20+2)*'W1'!$E$10)/12*'Pilot Project Budget'!$E30*'Pilot Project Budget'!H30,0),ROUND($E30*H30*((1+$S$4)^2)/12*'W1'!$E$5,0))))))),(IF(AND($S$4="Multi",$R$4="FY"),ROUND(((1+$M30)^('W1'!$B$20+2)*'W1'!$E$9+(1+$M30)^('W1'!$B$20+3)*'W1'!$E$10)/12*'Pilot Project Budget'!$E30*'Pilot Project Budget'!H30,0),(IF(AND($S$4="Multi",$R$4="PY"),ROUND($E30*H30*((1+$M30)^2)/12*'W1'!$E$5,0),(IF(AND($S$4&lt;&gt;"Multi",$R$4="FY"),ROUND(((1+$S$4)^('W1'!$B$20+2)*'W1'!$E$9+(1+$S$4)^('W1'!$B$20+3)*'W1'!$E$10)/12*'Pilot Project Budget'!$E30*'Pilot Project Budget'!H30,0),ROUND($E30*H30*((1+$S$4)^2)/12*'W1'!$E$5,0))))))))</f>
        <v>0</v>
      </c>
      <c r="Q30" s="187">
        <f>IF('W1'!$C$4='W1'!$D$4,(IF(AND($S$4="Multi",$R$4="FY"),ROUND(((1+$M30)^('W1'!$B$20+2)*'W1'!$F$9+(1+$M30)^('W1'!$B$20+3)*'W1'!$F$10)/12*'Pilot Project Budget'!$E30*'Pilot Project Budget'!$I30,0),(IF(AND($S$4="Multi",$R$4="PY"),ROUND($E30*$I30*((1+$M30)^3)/12*'W1'!$F$5,0),(IF(AND($S$4&lt;&gt;"Multi",$R$4="FY"),ROUND(((1+$S$4)^('W1'!$B$20+2)*'W1'!$F$9+(1+$S$4)^('W1'!$B$20+3)*'W1'!$F$10)/12*'Pilot Project Budget'!$E30*'Pilot Project Budget'!$I30,0),ROUND($E30*$I30*((1+$S$4)^3)/12*'W1'!$F$5,0))))))),(IF(AND($S$4="Multi",$R$4="FY"),ROUND(((1+$M30)^('W1'!$B$20+3)*'W1'!$F$9+(1+$M30)^('W1'!$B$20+4)*'W1'!$F$10)/12*'Pilot Project Budget'!$E30*'Pilot Project Budget'!$I30,0),(IF(AND($S$4="Multi",$R$4="PY"),ROUND($E30*$I30*((1+$M30)^3)/12*'W1'!$F$5,0),(IF(AND($S$4&lt;&gt;"Multi",$R$4="FY"),ROUND(((1+$S$4)^('W1'!$B$20+3)*'W1'!$F$9+(1+$S$4)^('W1'!$B$20+4)*'W1'!$F$10)/12*'Pilot Project Budget'!$E30*'Pilot Project Budget'!$I30,0),ROUND($E30*$I30*((1+$S$4)^3)/12*'W1'!$F$5,0))))))))</f>
        <v>0</v>
      </c>
      <c r="R30" s="187">
        <f>IF('W1'!$C$4='W1'!$D$4,(IF(AND($S$4="Multi",$R$4="FY"),ROUND(((1+$M30)^('W1'!$B$20+3)*'W1'!$G$9+(1+$M30)^('W1'!$B$20+4)*'W1'!$G$10)/12*'Pilot Project Budget'!$E30*'Pilot Project Budget'!$J30,0),(IF(AND($S$4="Multi",$R$4="PY"),ROUND($E30*$J30*((1+$M30)^4)/12*'W1'!$G$5,0),(IF(AND($S$4&lt;&gt;"Multi",$R$4="FY"),ROUND(((1+$S$4)^('W1'!$B$20+3)*'W1'!$G$9+(1+$S$4)^('W1'!$B$20+4)*'W1'!$G$10)/12*'Pilot Project Budget'!$E30*'Pilot Project Budget'!$J30,0),ROUND($E30*$J30*((1+$S$4)^4)/12*'W1'!$G$5,0))))))),(IF(AND($S$4="Multi",$R$4="FY"),ROUND(((1+$M30)^('W1'!$B$20+4)*'W1'!$G$9+(1+$M30)^('W1'!$B$20+5)*'W1'!$G$10)/12*'Pilot Project Budget'!$E30*'Pilot Project Budget'!$J30,0),(IF(AND($S$4="Multi",$R$4="PY"),ROUND($E30*$J30*((1+$M30)^4)/12*'W1'!$G$5,0),(IF(AND($S$4&lt;&gt;"Multi",$R$4="FY"),ROUND(((1+$S$4)^('W1'!$B$20+4)*'W1'!$G$9+(1+$S$4)^('W1'!$B$20+5)*'W1'!$G$10)/12*'Pilot Project Budget'!$E30*'Pilot Project Budget'!$J30,0),ROUND($E30*$J30*((1+$S$4)^4)/12*'W1'!$G$5,0))))))))</f>
        <v>0</v>
      </c>
      <c r="S30" s="188">
        <f t="shared" si="0"/>
        <v>0</v>
      </c>
      <c r="T30" s="246"/>
      <c r="U30" s="246"/>
      <c r="V30" s="246"/>
      <c r="W30" s="246"/>
      <c r="X30" s="246"/>
      <c r="Y30" s="247"/>
      <c r="Z30" s="247"/>
      <c r="AA30" s="247"/>
      <c r="AB30" s="247"/>
      <c r="AC30" s="24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idden="1" x14ac:dyDescent="0.2">
      <c r="A31" s="192">
        <v>24</v>
      </c>
      <c r="B31" s="193"/>
      <c r="C31" s="193"/>
      <c r="D31" s="194"/>
      <c r="E31" s="195"/>
      <c r="F31" s="221"/>
      <c r="G31" s="221"/>
      <c r="H31" s="221"/>
      <c r="I31" s="221"/>
      <c r="J31" s="221"/>
      <c r="K31" s="190" t="s">
        <v>176</v>
      </c>
      <c r="L31" s="190">
        <v>12</v>
      </c>
      <c r="M31" s="191">
        <v>0.03</v>
      </c>
      <c r="N31" s="187">
        <f>IF(AND($S$4="Multi",$R$4="FY"),ROUND(((1+$M31)^'W1'!$B$20*'W1'!$C$9+(1+$M31)^('W1'!$B$20+1)*'W1'!$C$10)/12*'Pilot Project Budget'!$E31*'Pilot Project Budget'!$F31,0),(IF(AND($S$4="Multi",$R$4="PY"),ROUND(E31*F31/12*'W1'!$C$5,0),(IF(AND($S$4&lt;&gt;"Multi",$R$4="FY"),ROUND(((1+$S$4)^'W1'!$B$20*'W1'!$C$9+(1+$S$4)^('W1'!$B$20+1)*'W1'!$C$10)/12*'Pilot Project Budget'!$E31*'Pilot Project Budget'!$F31,0),ROUND($E31*$F31/12*'W1'!$C$5,0))))))</f>
        <v>0</v>
      </c>
      <c r="O31" s="187">
        <f>IF('W1'!$C$4='W1'!$D$4,(IF(AND($S$4="Multi",$R$4="FY"),ROUND(((1+$M31)^('W1'!$B$20)*'W1'!$D$9+(1+$M31)^('W1'!$B$20+1)*'W1'!$D$10)/12*'Pilot Project Budget'!$E31*'Pilot Project Budget'!$G31,0),(IF(AND($S$4="Multi",$R$4="PY"),ROUND($E31*$G31*(1+M31)/12*'W1'!$D$5,0),(IF(AND($S$4&lt;&gt;"Multi",$R$4="FY"),ROUND(((1+$S$4)^('W1'!$B$20)*'W1'!$D$9+(1+$S$4)^('W1'!$B$20+1)*'W1'!$D$10)/12*'Pilot Project Budget'!$E31*'Pilot Project Budget'!$G31,0),ROUND($E31*$G31*(1+$S$4)/12*'W1'!$D$5,0))))))),(IF(AND($S$4="Multi",$R$4="FY"),ROUND(((1+$M31)^('W1'!$B$20+1)*'W1'!$D$9+(1+$M31)^('W1'!$B$20+2)*'W1'!$D$10)/12*'Pilot Project Budget'!$E31*'Pilot Project Budget'!$G31,0),(IF(AND($S$4="Multi",$R$4="PY"),ROUND($E31*$G31*(1+M31)/12*'W1'!$D$5,0),(IF(AND($S$4&lt;&gt;"Multi",$R$4="FY"),ROUND(((1+$S$4)^('W1'!$B$20+1)*'W1'!$D$9+(1+$S$4)^('W1'!$B$20+2)*'W1'!$D$10)/12*'Pilot Project Budget'!$E31*'Pilot Project Budget'!$G31,0),ROUND($E31*$G31*(1+$S$4)/12*'W1'!$D$5,0))))))))</f>
        <v>0</v>
      </c>
      <c r="P31" s="187">
        <f>IF('W1'!$C$4='W1'!$D$4,(IF(AND($S$4="Multi",$R$4="FY"),ROUND(((1+$M31)^('W1'!$B$20+1)*'W1'!$E$9+(1+$M31)^('W1'!$B$20+2)*'W1'!$E$10)/12*'Pilot Project Budget'!$E31*'Pilot Project Budget'!H31,0),(IF(AND($S$4="Multi",$R$4="PY"),ROUND($E31*H31*((1+$M31)^2)/12*'W1'!$E$5,0),(IF(AND($S$4&lt;&gt;"Multi",$R$4="FY"),ROUND(((1+$S$4)^('W1'!$B$20+1)*'W1'!$E$9+(1+$S$4)^('W1'!$B$20+2)*'W1'!$E$10)/12*'Pilot Project Budget'!$E31*'Pilot Project Budget'!H31,0),ROUND($E31*H31*((1+$S$4)^2)/12*'W1'!$E$5,0))))))),(IF(AND($S$4="Multi",$R$4="FY"),ROUND(((1+$M31)^('W1'!$B$20+2)*'W1'!$E$9+(1+$M31)^('W1'!$B$20+3)*'W1'!$E$10)/12*'Pilot Project Budget'!$E31*'Pilot Project Budget'!H31,0),(IF(AND($S$4="Multi",$R$4="PY"),ROUND($E31*H31*((1+$M31)^2)/12*'W1'!$E$5,0),(IF(AND($S$4&lt;&gt;"Multi",$R$4="FY"),ROUND(((1+$S$4)^('W1'!$B$20+2)*'W1'!$E$9+(1+$S$4)^('W1'!$B$20+3)*'W1'!$E$10)/12*'Pilot Project Budget'!$E31*'Pilot Project Budget'!H31,0),ROUND($E31*H31*((1+$S$4)^2)/12*'W1'!$E$5,0))))))))</f>
        <v>0</v>
      </c>
      <c r="Q31" s="187">
        <f>IF('W1'!$C$4='W1'!$D$4,(IF(AND($S$4="Multi",$R$4="FY"),ROUND(((1+$M31)^('W1'!$B$20+2)*'W1'!$F$9+(1+$M31)^('W1'!$B$20+3)*'W1'!$F$10)/12*'Pilot Project Budget'!$E31*'Pilot Project Budget'!$I31,0),(IF(AND($S$4="Multi",$R$4="PY"),ROUND($E31*$I31*((1+$M31)^3)/12*'W1'!$F$5,0),(IF(AND($S$4&lt;&gt;"Multi",$R$4="FY"),ROUND(((1+$S$4)^('W1'!$B$20+2)*'W1'!$F$9+(1+$S$4)^('W1'!$B$20+3)*'W1'!$F$10)/12*'Pilot Project Budget'!$E31*'Pilot Project Budget'!$I31,0),ROUND($E31*$I31*((1+$S$4)^3)/12*'W1'!$F$5,0))))))),(IF(AND($S$4="Multi",$R$4="FY"),ROUND(((1+$M31)^('W1'!$B$20+3)*'W1'!$F$9+(1+$M31)^('W1'!$B$20+4)*'W1'!$F$10)/12*'Pilot Project Budget'!$E31*'Pilot Project Budget'!$I31,0),(IF(AND($S$4="Multi",$R$4="PY"),ROUND($E31*$I31*((1+$M31)^3)/12*'W1'!$F$5,0),(IF(AND($S$4&lt;&gt;"Multi",$R$4="FY"),ROUND(((1+$S$4)^('W1'!$B$20+3)*'W1'!$F$9+(1+$S$4)^('W1'!$B$20+4)*'W1'!$F$10)/12*'Pilot Project Budget'!$E31*'Pilot Project Budget'!$I31,0),ROUND($E31*$I31*((1+$S$4)^3)/12*'W1'!$F$5,0))))))))</f>
        <v>0</v>
      </c>
      <c r="R31" s="187">
        <f>IF('W1'!$C$4='W1'!$D$4,(IF(AND($S$4="Multi",$R$4="FY"),ROUND(((1+$M31)^('W1'!$B$20+3)*'W1'!$G$9+(1+$M31)^('W1'!$B$20+4)*'W1'!$G$10)/12*'Pilot Project Budget'!$E31*'Pilot Project Budget'!$J31,0),(IF(AND($S$4="Multi",$R$4="PY"),ROUND($E31*$J31*((1+$M31)^4)/12*'W1'!$G$5,0),(IF(AND($S$4&lt;&gt;"Multi",$R$4="FY"),ROUND(((1+$S$4)^('W1'!$B$20+3)*'W1'!$G$9+(1+$S$4)^('W1'!$B$20+4)*'W1'!$G$10)/12*'Pilot Project Budget'!$E31*'Pilot Project Budget'!$J31,0),ROUND($E31*$J31*((1+$S$4)^4)/12*'W1'!$G$5,0))))))),(IF(AND($S$4="Multi",$R$4="FY"),ROUND(((1+$M31)^('W1'!$B$20+4)*'W1'!$G$9+(1+$M31)^('W1'!$B$20+5)*'W1'!$G$10)/12*'Pilot Project Budget'!$E31*'Pilot Project Budget'!$J31,0),(IF(AND($S$4="Multi",$R$4="PY"),ROUND($E31*$J31*((1+$M31)^4)/12*'W1'!$G$5,0),(IF(AND($S$4&lt;&gt;"Multi",$R$4="FY"),ROUND(((1+$S$4)^('W1'!$B$20+4)*'W1'!$G$9+(1+$S$4)^('W1'!$B$20+5)*'W1'!$G$10)/12*'Pilot Project Budget'!$E31*'Pilot Project Budget'!$J31,0),ROUND($E31*$J31*((1+$S$4)^4)/12*'W1'!$G$5,0))))))))</f>
        <v>0</v>
      </c>
      <c r="S31" s="188">
        <f t="shared" si="0"/>
        <v>0</v>
      </c>
      <c r="T31" s="246"/>
      <c r="U31" s="246"/>
      <c r="V31" s="246"/>
      <c r="W31" s="246"/>
      <c r="X31" s="246"/>
      <c r="Y31" s="247"/>
      <c r="Z31" s="247"/>
      <c r="AA31" s="247"/>
      <c r="AB31" s="247"/>
      <c r="AC31" s="24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x14ac:dyDescent="0.2">
      <c r="A32" s="360" t="s">
        <v>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189">
        <f>SUM(N8:N31)</f>
        <v>0</v>
      </c>
      <c r="O32" s="189">
        <f>SUM(O8:O31)</f>
        <v>0</v>
      </c>
      <c r="P32" s="189">
        <f t="shared" ref="P32:Q32" si="1">SUM(P8:P31)</f>
        <v>0</v>
      </c>
      <c r="Q32" s="189">
        <f t="shared" si="1"/>
        <v>0</v>
      </c>
      <c r="R32" s="189">
        <f>SUM(R8:R31)</f>
        <v>0</v>
      </c>
      <c r="S32" s="189">
        <f>SUM(S8:S31)</f>
        <v>0</v>
      </c>
      <c r="T32" s="249"/>
      <c r="U32" s="249"/>
      <c r="V32" s="249"/>
      <c r="W32" s="249"/>
      <c r="X32" s="249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9" customHeight="1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x14ac:dyDescent="0.2">
      <c r="D34" s="101" t="s">
        <v>177</v>
      </c>
      <c r="E34" s="99" t="str">
        <f>'W1'!C9&amp;"/"&amp;'W1'!C10</f>
        <v>3/9</v>
      </c>
      <c r="F34" s="383" t="str">
        <f>'W1'!D9&amp;"/"&amp;'W1'!D10</f>
        <v>3/9</v>
      </c>
      <c r="G34" s="383"/>
      <c r="H34" s="383" t="str">
        <f>'W1'!E9&amp;"/"&amp;'W1'!E10</f>
        <v>0/0</v>
      </c>
      <c r="I34" s="383"/>
      <c r="J34" s="383" t="str">
        <f>'W1'!F9&amp;"/"&amp;'W1'!F10</f>
        <v>0/0</v>
      </c>
      <c r="K34" s="383"/>
      <c r="L34" s="383" t="str">
        <f>'W1'!G9&amp;"/"&amp;'W1'!G10</f>
        <v>0/0</v>
      </c>
      <c r="M34" s="383"/>
      <c r="Q34" s="356" t="s">
        <v>152</v>
      </c>
      <c r="R34" s="357"/>
      <c r="S34" s="230" t="s">
        <v>150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x14ac:dyDescent="0.2">
      <c r="A35" s="386" t="s">
        <v>17</v>
      </c>
      <c r="B35" s="387"/>
      <c r="C35" s="388"/>
      <c r="D35" s="98" t="s">
        <v>6</v>
      </c>
      <c r="E35" s="98" t="s">
        <v>18</v>
      </c>
      <c r="F35" s="389" t="s">
        <v>18</v>
      </c>
      <c r="G35" s="390"/>
      <c r="H35" s="389" t="s">
        <v>18</v>
      </c>
      <c r="I35" s="390"/>
      <c r="J35" s="389" t="s">
        <v>18</v>
      </c>
      <c r="K35" s="390"/>
      <c r="L35" s="389" t="s">
        <v>18</v>
      </c>
      <c r="M35" s="390"/>
      <c r="N35" s="50" t="str">
        <f>N5</f>
        <v>Period 1</v>
      </c>
      <c r="O35" s="50" t="str">
        <f>O5</f>
        <v>Period 2</v>
      </c>
      <c r="P35" s="50" t="str">
        <f>P5</f>
        <v>Period 3</v>
      </c>
      <c r="Q35" s="50" t="str">
        <f>Q5</f>
        <v>Period 4</v>
      </c>
      <c r="R35" s="50" t="str">
        <f>R5</f>
        <v>Period 5</v>
      </c>
      <c r="S35" s="50" t="s">
        <v>13</v>
      </c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x14ac:dyDescent="0.2">
      <c r="A36" s="92">
        <v>1</v>
      </c>
      <c r="B36" s="381">
        <f t="shared" ref="B36:B59" si="2">B8</f>
        <v>0</v>
      </c>
      <c r="C36" s="382"/>
      <c r="D36" s="199" t="s">
        <v>52</v>
      </c>
      <c r="E36" s="226" t="str">
        <f>IF($D36='W1'!$A$59,'W1'!B$59,IF($D36='W1'!$A$60,'W1'!B$60,IF($D36='W1'!$A$61,'W1'!B$61,IF($D36='W1'!$A$62,'W1'!B$62,IF($D36='W1'!$A$63,'W1'!B$63,IF($D36='W1'!$A$64,'W1'!B$64,IF($D36='W1'!$A$65,'W1'!B$65,IF($D36='W1'!$A$66,'W1'!B$66,IF($D36='W1'!$A$67,'W1'!B$67,IF($D36='W1'!$A$68,'W1'!B275,IF($D36='W1'!$A$69,'W1'!B275,IF($D36='W1'!$A$70,'W1'!B275,IF($D36='W1'!$A$71,"")))))))))))))</f>
        <v/>
      </c>
      <c r="F36" s="378" t="str">
        <f>IF($D36='W1'!$A$59,'W1'!C$59,IF($D36='W1'!$A$60,'W1'!C$60,IF($D36='W1'!$A$61,'W1'!C$61,IF($D36='W1'!$A$62,'W1'!C$62,IF($D36='W1'!$A$63,'W1'!C$63,IF($D36='W1'!$A$64,'W1'!C$64,IF($D36='W1'!$A$65,'W1'!C$65,IF($D36='W1'!$A$66,'W1'!C$66,IF($D36='W1'!$A$67,'W1'!C$67,IF($D36='W1'!$A$68,'W1'!D275,IF($D36='W1'!$A$69,'W1'!D275,IF($D36='W1'!$A$70,'W1'!D275,IF($D36='W1'!$A$71,"")))))))))))))</f>
        <v/>
      </c>
      <c r="G36" s="379"/>
      <c r="H36" s="366" t="str">
        <f>IF($D36='W1'!$A$59,'W1'!D$59,IF($D36='W1'!$A$60,'W1'!D$60,IF($D36='W1'!$A$61,'W1'!D$61,IF($D36='W1'!$A$62,'W1'!D$62,IF($D36='W1'!$A$63,'W1'!D$63,IF($D36='W1'!$A$64,'W1'!D$64,IF($D36='W1'!$A$65,'W1'!D$65,IF($D36='W1'!$A$66,'W1'!D$66,IF($D36='W1'!$A$67,'W1'!D$67,IF($D36='W1'!$A$68,'W1'!F275,IF($D36='W1'!$A$69,'W1'!F275,IF($D36='W1'!$A$70,'W1'!F275,IF($D36='W1'!$A$71,"")))))))))))))</f>
        <v/>
      </c>
      <c r="I36" s="367"/>
      <c r="J36" s="366" t="str">
        <f>IF($D36='W1'!$A$59,'W1'!E$59,IF($D36='W1'!$A$60,'W1'!E$60,IF($D36='W1'!$A$61,'W1'!E$61,IF($D36='W1'!$A$62,'W1'!E$62,IF($D36='W1'!$A$63,'W1'!E$63,IF($D36='W1'!$A$64,'W1'!E$64,IF($D36='W1'!$A$65,'W1'!E$65,IF($D36='W1'!$A$66,'W1'!E$66,IF($D36='W1'!$A$67,'W1'!E$67,IF($D36='W1'!$A$68,'W1'!H275,IF($D36='W1'!$A$69,'W1'!H275,IF($D36='W1'!$A$70,'W1'!H275,IF($D36='W1'!$A$71,"")))))))))))))</f>
        <v/>
      </c>
      <c r="K36" s="367"/>
      <c r="L36" s="366" t="str">
        <f>IF($D36='W1'!$A$59,'W1'!F$59,IF($D36='W1'!$A$60,'W1'!F$60,IF($D36='W1'!$A$61,'W1'!F$61,IF($D36='W1'!$A$62,'W1'!F$62,IF($D36='W1'!$A$63,'W1'!F$63,IF($D36='W1'!$A$64,'W1'!F$64,IF($D36='W1'!$A$65,'W1'!F$65,IF($D36='W1'!$A$66,'W1'!F$66,IF($D36='W1'!$A$67,'W1'!F$67,IF($D36='W1'!$A$68,'W1'!J275,IF($D36='W1'!$A$69,'W1'!J275,IF($D36='W1'!$A$70,'W1'!J275,IF($D36='W1'!$A$71,"")))))))))))))</f>
        <v/>
      </c>
      <c r="M36" s="367"/>
      <c r="N36" s="200">
        <f>IF(N8=0,0,IF(AND($D36="F-SMRA",N8=0),0,IF(AND($D36="F-SMRB",N8=0),0,IF(AND($D36="F-SMRC",N8=0),0,IF($D36='W1'!$A$68,'W1'!B301,IF($D36='W1'!$A$69,'W1'!B301,IF($D36='W1'!$A$70,'W1'!B301,ROUND(('Pilot Project Budget'!N8/'W1'!$C$5*'W1'!$C$9*(IF('Pilot Project Budget'!$D36='W1'!$A$47,'W1'!B$47,IF('Pilot Project Budget'!$D36='W1'!$A$48,'W1'!B$48,IF('Pilot Project Budget'!$D36='W1'!$A$49,'W1'!B$49,IF('Pilot Project Budget'!$D36='W1'!$A$50,'W1'!B$50,IF('Pilot Project Budget'!$D36='W1'!$A$51,'W1'!B$51,IF('Pilot Project Budget'!$D36='W1'!$A$52,'W1'!B$52,IF('Pilot Project Budget'!$D36='W1'!$A$53,'W1'!B$53,IF('Pilot Project Budget'!$D36='W1'!$A$54,'W1'!B$54,IF('Pilot Project Budget'!$D36='W1'!$A$55,'W1'!B$55))))))))))),0)+ROUND(N8/'W1'!$C$5*'W1'!$C$10*(IF('Pilot Project Budget'!$D36='W1'!$A$47,'W1'!C$47,IF('Pilot Project Budget'!$D36='W1'!$A$48,'W1'!C$48,IF('Pilot Project Budget'!$D36='W1'!$A$49,'W1'!C$49,IF('Pilot Project Budget'!$D36='W1'!$A$50,'W1'!C$50,IF('Pilot Project Budget'!$D36='W1'!$A$51,'W1'!C$51,IF('Pilot Project Budget'!$D36='W1'!$A$52,'W1'!C$52,IF('Pilot Project Budget'!$D36='W1'!$A$53,'W1'!C$53,IF('Pilot Project Budget'!$D36='W1'!$A$54,'W1'!C$54,IF('Pilot Project Budget'!$D36='W1'!$A$55,'W1'!C$55)))))))))),0))))))))</f>
        <v>0</v>
      </c>
      <c r="O36" s="187">
        <f>IF(O8=0,0,IF(AND($D36="F-SMRA",O8=0),0,IF(AND($D36="F-SMRB",O8=0),0,IF(AND($D36="F-SMRC",O8=0),0,IF($D36='W1'!$A$68,'W1'!D301,IF($D36='W1'!$A$69,'W1'!D301,IF($D36='W1'!$A$70,'W1'!D301,ROUND(('Pilot Project Budget'!O8/'W1'!$D$5*'W1'!$D$9*(IF('Pilot Project Budget'!$D36='W1'!$A$47,'W1'!D$47,IF('Pilot Project Budget'!$D36='W1'!$A$48,'W1'!D$48,IF('Pilot Project Budget'!$D36='W1'!$A$49,'W1'!D$49,IF('Pilot Project Budget'!$D36='W1'!$A$50,'W1'!D$50,IF('Pilot Project Budget'!$D36='W1'!$A$51,'W1'!D$51,IF('Pilot Project Budget'!$D36='W1'!$A$52,'W1'!D$52,IF('Pilot Project Budget'!$D36='W1'!$A$53,'W1'!D$53,IF('Pilot Project Budget'!$D36='W1'!$A$54,'W1'!D$54,IF('Pilot Project Budget'!$D36='W1'!$A$55,'W1'!D$55))))))))))),0)+ROUND(O8/'W1'!$D$5*'W1'!$D$10*(IF('Pilot Project Budget'!$D36='W1'!$A$47,'W1'!E$47,IF('Pilot Project Budget'!$D36='W1'!$A$48,'W1'!E$48,IF('Pilot Project Budget'!$D36='W1'!$A$49,'W1'!E$49,IF('Pilot Project Budget'!$D36='W1'!$A$50,'W1'!E$50,IF('Pilot Project Budget'!$D36='W1'!$A$51,'W1'!E$51,IF('Pilot Project Budget'!$D36='W1'!$A$52,'W1'!E$52,IF('Pilot Project Budget'!$D36='W1'!$A$53,'W1'!E$53,IF('Pilot Project Budget'!$D36='W1'!$A$54,'W1'!E$54,IF('Pilot Project Budget'!$D36='W1'!$A$55,'W1'!E$55)))))))))),0))))))))</f>
        <v>0</v>
      </c>
      <c r="P36" s="187">
        <f>IF(P8=0,0,IF(AND($D36="F-SMRA",P8=0),0,IF(AND($D36="F-SMRB",P8=0),0,IF(AND($D36="F-SMRC",P8=0),0,IF($D36='W1'!$A$68,'W1'!F301,IF($D36='W1'!$A$69,'W1'!F301,IF($D36='W1'!$A$70,'W1'!F301,ROUND(('Pilot Project Budget'!P8/'W1'!$E$5*'W1'!$E$9*(IF('Pilot Project Budget'!$D36='W1'!$A$47,'W1'!F$47,IF('Pilot Project Budget'!$D36='W1'!$A$48,'W1'!F$48,IF('Pilot Project Budget'!$D36='W1'!$A$49,'W1'!F$49,IF('Pilot Project Budget'!$D36='W1'!$A$50,'W1'!F$50,IF('Pilot Project Budget'!$D36='W1'!$A$51,'W1'!F$51,IF('Pilot Project Budget'!$D36='W1'!$A$52,'W1'!F$52,IF('Pilot Project Budget'!$D36='W1'!$A$53,'W1'!F$53,IF('Pilot Project Budget'!$D36='W1'!$A$54,'W1'!F$54,IF('Pilot Project Budget'!$D36='W1'!$A$55,'W1'!F$55))))))))))),0)+ROUND(P8/'W1'!$E$5*'W1'!$E$10*(IF('Pilot Project Budget'!$D36='W1'!$A$47,'W1'!G$47,IF('Pilot Project Budget'!$D36='W1'!$A$48,'W1'!G$48,IF('Pilot Project Budget'!$D36='W1'!$A$49,'W1'!G$49,IF('Pilot Project Budget'!$D36='W1'!$A$50,'W1'!G$50,IF('Pilot Project Budget'!$D36='W1'!$A$51,'W1'!G$51,IF('Pilot Project Budget'!$D36='W1'!$A$52,'W1'!G$52,IF('Pilot Project Budget'!$D36='W1'!$A$53,'W1'!G$53,IF('Pilot Project Budget'!$D36='W1'!$A$54,'W1'!G$54,IF('Pilot Project Budget'!$D36='W1'!$A$55,'W1'!G$55)))))))))),0))))))))</f>
        <v>0</v>
      </c>
      <c r="Q36" s="187">
        <f>IF(Q8=0,0,IF(AND($D36="F-SMRA",Q8=0),0,IF(AND($D36="F-SMRB",Q8=0),0,IF(AND($D36="F-SMRC",Q8=0),0,IF($D36='W1'!$A$68,'W1'!H301,IF($D36='W1'!$A$69,'W1'!H301,IF($D36='W1'!$A$70,'W1'!H301,ROUND(('Pilot Project Budget'!Q8/'W1'!$F$5*'W1'!$F$9*(IF('Pilot Project Budget'!$D36='W1'!$A$47,'W1'!H$47,IF('Pilot Project Budget'!$D36='W1'!$A$48,'W1'!H$48,IF('Pilot Project Budget'!$D36='W1'!$A$49,'W1'!H$49,IF('Pilot Project Budget'!$D36='W1'!$A$50,'W1'!H$50,IF('Pilot Project Budget'!$D36='W1'!$A$51,'W1'!H$51,IF('Pilot Project Budget'!$D36='W1'!$A$52,'W1'!H$52,IF('Pilot Project Budget'!$D36='W1'!$A$53,'W1'!H$53,IF('Pilot Project Budget'!$D36='W1'!$A$54,'W1'!H$54,IF('Pilot Project Budget'!$D36='W1'!$A$55,'W1'!H$55))))))))))),0)+ROUND(Q8/'W1'!$F$5*'W1'!$F$10*(IF('Pilot Project Budget'!$D36='W1'!$A$47,'W1'!I$47,IF('Pilot Project Budget'!$D36='W1'!$A$48,'W1'!I$48,IF('Pilot Project Budget'!$D36='W1'!$A$49,'W1'!I$49,IF('Pilot Project Budget'!$D36='W1'!$A$50,'W1'!I$50,IF('Pilot Project Budget'!$D36='W1'!$A$51,'W1'!I$51,IF('Pilot Project Budget'!$D36='W1'!$A$52,'W1'!I$52,IF('Pilot Project Budget'!$D36='W1'!$A$53,'W1'!I$53,IF('Pilot Project Budget'!$D36='W1'!$A$54,'W1'!I$54,IF('Pilot Project Budget'!$D36='W1'!$A$55,'W1'!I$55)))))))))),0))))))))</f>
        <v>0</v>
      </c>
      <c r="R36" s="187">
        <f>IF(R8=0,0,IF(AND($D36="F-SMRA",R8=0),0,IF(AND($D36="F-SMRB",R8=0),0,IF(AND($D36="F-SMRC",R8=0),0,IF($D36='W1'!$A$68,'W1'!J301,IF($D36='W1'!$A$69,'W1'!J301,IF($D36='W1'!$A$70,'W1'!J301,ROUND(('Pilot Project Budget'!R8/'W1'!$G$5*'W1'!$G$9*(IF('Pilot Project Budget'!$D36='W1'!$A$47,'W1'!J$47,IF('Pilot Project Budget'!$D36='W1'!$A$48,'W1'!J$48,IF('Pilot Project Budget'!$D36='W1'!$A$49,'W1'!J$49,IF('Pilot Project Budget'!$D36='W1'!$A$50,'W1'!J$50,IF('Pilot Project Budget'!$D36='W1'!$A$51,'W1'!J$51,IF('Pilot Project Budget'!$D36='W1'!$A$52,'W1'!J$52,IF('Pilot Project Budget'!$D36='W1'!$A$53,'W1'!J$53,IF('Pilot Project Budget'!$D36='W1'!$A$54,'W1'!J$54,IF('Pilot Project Budget'!$D36='W1'!$A$55,'W1'!J$55))))))))))),0)+ROUND(R8/'W1'!$G$5*'W1'!$G$10*(IF('Pilot Project Budget'!$D36='W1'!$A$47,'W1'!K$47,IF('Pilot Project Budget'!$D36='W1'!$A$48,'W1'!K$48,IF('Pilot Project Budget'!$D36='W1'!$A$49,'W1'!K$49,IF('Pilot Project Budget'!$D36='W1'!$A$50,'W1'!K$50,IF('Pilot Project Budget'!$D36='W1'!$A$51,'W1'!K$51,IF('Pilot Project Budget'!$D36='W1'!$A$52,'W1'!K$52,IF('Pilot Project Budget'!$D36='W1'!$A$53,'W1'!K$53,IF('Pilot Project Budget'!$D36='W1'!$A$54,'W1'!K$54,IF('Pilot Project Budget'!$D36='W1'!$A$55,'W1'!K$55)))))))))),0))))))))</f>
        <v>0</v>
      </c>
      <c r="S36" s="187">
        <f>SUM(N36:R36)</f>
        <v>0</v>
      </c>
      <c r="T36" s="248"/>
      <c r="U36" s="248"/>
      <c r="V36" s="248"/>
      <c r="W36" s="248"/>
      <c r="X36" s="248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x14ac:dyDescent="0.2">
      <c r="A37" s="92">
        <v>2</v>
      </c>
      <c r="B37" s="381">
        <f t="shared" si="2"/>
        <v>0</v>
      </c>
      <c r="C37" s="382"/>
      <c r="D37" s="199" t="s">
        <v>52</v>
      </c>
      <c r="E37" s="226" t="str">
        <f>IF($D37='W1'!$A$59,'W1'!B$59,IF($D37='W1'!$A$60,'W1'!B$60,IF($D37='W1'!$A$61,'W1'!B$61,IF($D37='W1'!$A$62,'W1'!B$62,IF($D37='W1'!$A$63,'W1'!B$63,IF($D37='W1'!$A$64,'W1'!B$64,IF($D37='W1'!$A$65,'W1'!B$65,IF($D37='W1'!$A$66,'W1'!B$66,IF($D37='W1'!$A$67,'W1'!B$67,IF($D37='W1'!$A$68,'W1'!B276,IF($D37='W1'!$A$69,'W1'!B276,IF($D37='W1'!$A$70,'W1'!B276,IF($D37='W1'!$A$71,"")))))))))))))</f>
        <v/>
      </c>
      <c r="F37" s="378" t="str">
        <f>IF($D37='W1'!$A$59,'W1'!C$59,IF($D37='W1'!$A$60,'W1'!C$60,IF($D37='W1'!$A$61,'W1'!C$61,IF($D37='W1'!$A$62,'W1'!C$62,IF($D37='W1'!$A$63,'W1'!C$63,IF($D37='W1'!$A$64,'W1'!C$64,IF($D37='W1'!$A$65,'W1'!C$65,IF($D37='W1'!$A$66,'W1'!C$66,IF($D37='W1'!$A$67,'W1'!C$67,IF($D37='W1'!$A$68,'W1'!D276,IF($D37='W1'!$A$69,'W1'!D276,IF($D37='W1'!$A$70,'W1'!D276,IF($D37='W1'!$A$71,"")))))))))))))</f>
        <v/>
      </c>
      <c r="G37" s="379"/>
      <c r="H37" s="366" t="str">
        <f>IF($D37='W1'!$A$59,'W1'!D$59,IF($D37='W1'!$A$60,'W1'!D$60,IF($D37='W1'!$A$61,'W1'!D$61,IF($D37='W1'!$A$62,'W1'!D$62,IF($D37='W1'!$A$63,'W1'!D$63,IF($D37='W1'!$A$64,'W1'!D$64,IF($D37='W1'!$A$65,'W1'!D$65,IF($D37='W1'!$A$66,'W1'!D$66,IF($D37='W1'!$A$67,'W1'!D$67,IF($D37='W1'!$A$68,'W1'!F276,IF($D37='W1'!$A$69,'W1'!F276,IF($D37='W1'!$A$70,'W1'!F276,IF($D37='W1'!$A$71,"")))))))))))))</f>
        <v/>
      </c>
      <c r="I37" s="367"/>
      <c r="J37" s="366" t="str">
        <f>IF($D37='W1'!$A$59,'W1'!E$59,IF($D37='W1'!$A$60,'W1'!E$60,IF($D37='W1'!$A$61,'W1'!E$61,IF($D37='W1'!$A$62,'W1'!E$62,IF($D37='W1'!$A$63,'W1'!E$63,IF($D37='W1'!$A$64,'W1'!E$64,IF($D37='W1'!$A$65,'W1'!E$65,IF($D37='W1'!$A$66,'W1'!E$66,IF($D37='W1'!$A$67,'W1'!E$67,IF($D37='W1'!$A$68,'W1'!H276,IF($D37='W1'!$A$69,'W1'!H276,IF($D37='W1'!$A$70,'W1'!H276,IF($D37='W1'!$A$71,"")))))))))))))</f>
        <v/>
      </c>
      <c r="K37" s="367"/>
      <c r="L37" s="366" t="str">
        <f>IF($D37='W1'!$A$59,'W1'!F$59,IF($D37='W1'!$A$60,'W1'!F$60,IF($D37='W1'!$A$61,'W1'!F$61,IF($D37='W1'!$A$62,'W1'!F$62,IF($D37='W1'!$A$63,'W1'!F$63,IF($D37='W1'!$A$64,'W1'!F$64,IF($D37='W1'!$A$65,'W1'!F$65,IF($D37='W1'!$A$66,'W1'!F$66,IF($D37='W1'!$A$67,'W1'!F$67,IF($D37='W1'!$A$68,'W1'!J276,IF($D37='W1'!$A$69,'W1'!J276,IF($D37='W1'!$A$70,'W1'!J276,IF($D37='W1'!$A$71,"")))))))))))))</f>
        <v/>
      </c>
      <c r="M37" s="367"/>
      <c r="N37" s="187">
        <f>IF(N9=0,0,IF(AND($D37="F-SMRA",N9=0),0,IF(AND($D37="F-SMRB",N9=0),0,IF(AND($D37="F-SMRC",N9=0),0,IF($D37='W1'!$A$68,'W1'!B302,IF($D37='W1'!$A$69,'W1'!B302,IF($D37='W1'!$A$70,'W1'!B302,ROUND(('Pilot Project Budget'!N9/'W1'!$C$5*'W1'!$C$9*(IF('Pilot Project Budget'!$D37='W1'!$A$47,'W1'!B$47,IF('Pilot Project Budget'!$D37='W1'!$A$48,'W1'!B$48,IF('Pilot Project Budget'!$D37='W1'!$A$49,'W1'!B$49,IF('Pilot Project Budget'!$D37='W1'!$A$50,'W1'!B$50,IF('Pilot Project Budget'!$D37='W1'!$A$51,'W1'!B$51,IF('Pilot Project Budget'!$D37='W1'!$A$52,'W1'!B$52,IF('Pilot Project Budget'!$D37='W1'!$A$53,'W1'!B$53,IF('Pilot Project Budget'!$D37='W1'!$A$54,'W1'!B$54,IF('Pilot Project Budget'!$D37='W1'!$A$55,'W1'!B$55))))))))))),0)+ROUND(N9/'W1'!$C$5*'W1'!$C$10*(IF('Pilot Project Budget'!$D37='W1'!$A$47,'W1'!C$47,IF('Pilot Project Budget'!$D37='W1'!$A$48,'W1'!C$48,IF('Pilot Project Budget'!$D37='W1'!$A$49,'W1'!C$49,IF('Pilot Project Budget'!$D37='W1'!$A$50,'W1'!C$50,IF('Pilot Project Budget'!$D37='W1'!$A$51,'W1'!C$51,IF('Pilot Project Budget'!$D37='W1'!$A$52,'W1'!C$52,IF('Pilot Project Budget'!$D37='W1'!$A$53,'W1'!C$53,IF('Pilot Project Budget'!$D37='W1'!$A$54,'W1'!C$54,IF('Pilot Project Budget'!$D37='W1'!$A$55,'W1'!C$55)))))))))),0))))))))</f>
        <v>0</v>
      </c>
      <c r="O37" s="187">
        <f>IF(O9=0,0,IF(AND($D37="F-SMRA",O9=0),0,IF(AND($D37="F-SMRB",O9=0),0,IF(AND($D37="F-SMRC",O9=0),0,IF($D37='W1'!$A$68,'W1'!D302,IF($D37='W1'!$A$69,'W1'!D302,IF($D37='W1'!$A$70,'W1'!D302,ROUND(('Pilot Project Budget'!O9/'W1'!$D$5*'W1'!$D$9*(IF('Pilot Project Budget'!$D37='W1'!$A$47,'W1'!D$47,IF('Pilot Project Budget'!$D37='W1'!$A$48,'W1'!D$48,IF('Pilot Project Budget'!$D37='W1'!$A$49,'W1'!D$49,IF('Pilot Project Budget'!$D37='W1'!$A$50,'W1'!D$50,IF('Pilot Project Budget'!$D37='W1'!$A$51,'W1'!D$51,IF('Pilot Project Budget'!$D37='W1'!$A$52,'W1'!D$52,IF('Pilot Project Budget'!$D37='W1'!$A$53,'W1'!D$53,IF('Pilot Project Budget'!$D37='W1'!$A$54,'W1'!D$54,IF('Pilot Project Budget'!$D37='W1'!$A$55,'W1'!D$55))))))))))),0)+ROUND(O9/'W1'!$D$5*'W1'!$D$10*(IF('Pilot Project Budget'!$D37='W1'!$A$47,'W1'!E$47,IF('Pilot Project Budget'!$D37='W1'!$A$48,'W1'!E$48,IF('Pilot Project Budget'!$D37='W1'!$A$49,'W1'!E$49,IF('Pilot Project Budget'!$D37='W1'!$A$50,'W1'!E$50,IF('Pilot Project Budget'!$D37='W1'!$A$51,'W1'!E$51,IF('Pilot Project Budget'!$D37='W1'!$A$52,'W1'!E$52,IF('Pilot Project Budget'!$D37='W1'!$A$53,'W1'!E$53,IF('Pilot Project Budget'!$D37='W1'!$A$54,'W1'!E$54,IF('Pilot Project Budget'!$D37='W1'!$A$55,'W1'!E$55)))))))))),0))))))))</f>
        <v>0</v>
      </c>
      <c r="P37" s="187">
        <f>IF(P9=0,0,IF(AND($D37="F-SMRA",P9=0),0,IF(AND($D37="F-SMRB",P9=0),0,IF(AND($D37="F-SMRC",P9=0),0,IF($D37='W1'!$A$68,'W1'!F302,IF($D37='W1'!$A$69,'W1'!F302,IF($D37='W1'!$A$70,'W1'!F302,ROUND(('Pilot Project Budget'!P9/'W1'!$E$5*'W1'!$E$9*(IF('Pilot Project Budget'!$D37='W1'!$A$47,'W1'!F$47,IF('Pilot Project Budget'!$D37='W1'!$A$48,'W1'!F$48,IF('Pilot Project Budget'!$D37='W1'!$A$49,'W1'!F$49,IF('Pilot Project Budget'!$D37='W1'!$A$50,'W1'!F$50,IF('Pilot Project Budget'!$D37='W1'!$A$51,'W1'!F$51,IF('Pilot Project Budget'!$D37='W1'!$A$52,'W1'!F$52,IF('Pilot Project Budget'!$D37='W1'!$A$53,'W1'!F$53,IF('Pilot Project Budget'!$D37='W1'!$A$54,'W1'!F$54,IF('Pilot Project Budget'!$D37='W1'!$A$55,'W1'!F$55))))))))))),0)+ROUND(P9/'W1'!$E$5*'W1'!$E$10*(IF('Pilot Project Budget'!$D37='W1'!$A$47,'W1'!G$47,IF('Pilot Project Budget'!$D37='W1'!$A$48,'W1'!G$48,IF('Pilot Project Budget'!$D37='W1'!$A$49,'W1'!G$49,IF('Pilot Project Budget'!$D37='W1'!$A$50,'W1'!G$50,IF('Pilot Project Budget'!$D37='W1'!$A$51,'W1'!G$51,IF('Pilot Project Budget'!$D37='W1'!$A$52,'W1'!G$52,IF('Pilot Project Budget'!$D37='W1'!$A$53,'W1'!G$53,IF('Pilot Project Budget'!$D37='W1'!$A$54,'W1'!G$54,IF('Pilot Project Budget'!$D37='W1'!$A$55,'W1'!G$55)))))))))),0))))))))</f>
        <v>0</v>
      </c>
      <c r="Q37" s="187">
        <f>IF(Q9=0,0,IF(AND($D37="F-SMRA",Q9=0),0,IF(AND($D37="F-SMRB",Q9=0),0,IF(AND($D37="F-SMRC",Q9=0),0,IF($D37='W1'!$A$68,'W1'!H302,IF($D37='W1'!$A$69,'W1'!H302,IF($D37='W1'!$A$70,'W1'!H302,ROUND(('Pilot Project Budget'!Q9/'W1'!$F$5*'W1'!$F$9*(IF('Pilot Project Budget'!$D37='W1'!$A$47,'W1'!H$47,IF('Pilot Project Budget'!$D37='W1'!$A$48,'W1'!H$48,IF('Pilot Project Budget'!$D37='W1'!$A$49,'W1'!H$49,IF('Pilot Project Budget'!$D37='W1'!$A$50,'W1'!H$50,IF('Pilot Project Budget'!$D37='W1'!$A$51,'W1'!H$51,IF('Pilot Project Budget'!$D37='W1'!$A$52,'W1'!H$52,IF('Pilot Project Budget'!$D37='W1'!$A$53,'W1'!H$53,IF('Pilot Project Budget'!$D37='W1'!$A$54,'W1'!H$54,IF('Pilot Project Budget'!$D37='W1'!$A$55,'W1'!H$55))))))))))),0)+ROUND(Q9/'W1'!$F$5*'W1'!$F$10*(IF('Pilot Project Budget'!$D37='W1'!$A$47,'W1'!I$47,IF('Pilot Project Budget'!$D37='W1'!$A$48,'W1'!I$48,IF('Pilot Project Budget'!$D37='W1'!$A$49,'W1'!I$49,IF('Pilot Project Budget'!$D37='W1'!$A$50,'W1'!I$50,IF('Pilot Project Budget'!$D37='W1'!$A$51,'W1'!I$51,IF('Pilot Project Budget'!$D37='W1'!$A$52,'W1'!I$52,IF('Pilot Project Budget'!$D37='W1'!$A$53,'W1'!I$53,IF('Pilot Project Budget'!$D37='W1'!$A$54,'W1'!I$54,IF('Pilot Project Budget'!$D37='W1'!$A$55,'W1'!I$55)))))))))),0))))))))</f>
        <v>0</v>
      </c>
      <c r="R37" s="187">
        <f>IF(R9=0,0,IF(AND($D37="F-SMRA",R9=0),0,IF(AND($D37="F-SMRB",R9=0),0,IF(AND($D37="F-SMRC",R9=0),0,IF($D37='W1'!$A$68,'W1'!J302,IF($D37='W1'!$A$69,'W1'!J302,IF($D37='W1'!$A$70,'W1'!J302,ROUND(('Pilot Project Budget'!R9/'W1'!$G$5*'W1'!$G$9*(IF('Pilot Project Budget'!$D37='W1'!$A$47,'W1'!J$47,IF('Pilot Project Budget'!$D37='W1'!$A$48,'W1'!J$48,IF('Pilot Project Budget'!$D37='W1'!$A$49,'W1'!J$49,IF('Pilot Project Budget'!$D37='W1'!$A$50,'W1'!J$50,IF('Pilot Project Budget'!$D37='W1'!$A$51,'W1'!J$51,IF('Pilot Project Budget'!$D37='W1'!$A$52,'W1'!J$52,IF('Pilot Project Budget'!$D37='W1'!$A$53,'W1'!J$53,IF('Pilot Project Budget'!$D37='W1'!$A$54,'W1'!J$54,IF('Pilot Project Budget'!$D37='W1'!$A$55,'W1'!J$55))))))))))),0)+ROUND(R9/'W1'!$G$5*'W1'!$G$10*(IF('Pilot Project Budget'!$D37='W1'!$A$47,'W1'!K$47,IF('Pilot Project Budget'!$D37='W1'!$A$48,'W1'!K$48,IF('Pilot Project Budget'!$D37='W1'!$A$49,'W1'!K$49,IF('Pilot Project Budget'!$D37='W1'!$A$50,'W1'!K$50,IF('Pilot Project Budget'!$D37='W1'!$A$51,'W1'!K$51,IF('Pilot Project Budget'!$D37='W1'!$A$52,'W1'!K$52,IF('Pilot Project Budget'!$D37='W1'!$A$53,'W1'!K$53,IF('Pilot Project Budget'!$D37='W1'!$A$54,'W1'!K$54,IF('Pilot Project Budget'!$D37='W1'!$A$55,'W1'!K$55)))))))))),0))))))))</f>
        <v>0</v>
      </c>
      <c r="S37" s="187">
        <f t="shared" ref="S37:S59" si="3">SUM(N37:R37)</f>
        <v>0</v>
      </c>
      <c r="T37" s="248"/>
      <c r="U37" s="248"/>
      <c r="V37" s="248"/>
      <c r="W37" s="248"/>
      <c r="X37" s="248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x14ac:dyDescent="0.2">
      <c r="A38" s="92">
        <v>3</v>
      </c>
      <c r="B38" s="381">
        <f t="shared" si="2"/>
        <v>0</v>
      </c>
      <c r="C38" s="382"/>
      <c r="D38" s="199" t="s">
        <v>52</v>
      </c>
      <c r="E38" s="226" t="str">
        <f>IF($D38='W1'!$A$59,'W1'!B$59,IF($D38='W1'!$A$60,'W1'!B$60,IF($D38='W1'!$A$61,'W1'!B$61,IF($D38='W1'!$A$62,'W1'!B$62,IF($D38='W1'!$A$63,'W1'!B$63,IF($D38='W1'!$A$64,'W1'!B$64,IF($D38='W1'!$A$65,'W1'!B$65,IF($D38='W1'!$A$66,'W1'!B$66,IF($D38='W1'!$A$67,'W1'!B$67,IF($D38='W1'!$A$68,'W1'!B277,IF($D38='W1'!$A$69,'W1'!B277,IF($D38='W1'!$A$70,'W1'!B277,IF($D38='W1'!$A$71,"")))))))))))))</f>
        <v/>
      </c>
      <c r="F38" s="378" t="str">
        <f>IF($D38='W1'!$A$59,'W1'!C$59,IF($D38='W1'!$A$60,'W1'!C$60,IF($D38='W1'!$A$61,'W1'!C$61,IF($D38='W1'!$A$62,'W1'!C$62,IF($D38='W1'!$A$63,'W1'!C$63,IF($D38='W1'!$A$64,'W1'!C$64,IF($D38='W1'!$A$65,'W1'!C$65,IF($D38='W1'!$A$66,'W1'!C$66,IF($D38='W1'!$A$67,'W1'!C$67,IF($D38='W1'!$A$68,'W1'!D277,IF($D38='W1'!$A$69,'W1'!D277,IF($D38='W1'!$A$70,'W1'!D277,IF($D38='W1'!$A$71,"")))))))))))))</f>
        <v/>
      </c>
      <c r="G38" s="379"/>
      <c r="H38" s="366" t="str">
        <f>IF($D38='W1'!$A$59,'W1'!D$59,IF($D38='W1'!$A$60,'W1'!D$60,IF($D38='W1'!$A$61,'W1'!D$61,IF($D38='W1'!$A$62,'W1'!D$62,IF($D38='W1'!$A$63,'W1'!D$63,IF($D38='W1'!$A$64,'W1'!D$64,IF($D38='W1'!$A$65,'W1'!D$65,IF($D38='W1'!$A$66,'W1'!D$66,IF($D38='W1'!$A$67,'W1'!D$67,IF($D38='W1'!$A$68,'W1'!F277,IF($D38='W1'!$A$69,'W1'!F277,IF($D38='W1'!$A$70,'W1'!F277,IF($D38='W1'!$A$71,"")))))))))))))</f>
        <v/>
      </c>
      <c r="I38" s="367"/>
      <c r="J38" s="366" t="str">
        <f>IF($D38='W1'!$A$59,'W1'!E$59,IF($D38='W1'!$A$60,'W1'!E$60,IF($D38='W1'!$A$61,'W1'!E$61,IF($D38='W1'!$A$62,'W1'!E$62,IF($D38='W1'!$A$63,'W1'!E$63,IF($D38='W1'!$A$64,'W1'!E$64,IF($D38='W1'!$A$65,'W1'!E$65,IF($D38='W1'!$A$66,'W1'!E$66,IF($D38='W1'!$A$67,'W1'!E$67,IF($D38='W1'!$A$68,'W1'!H277,IF($D38='W1'!$A$69,'W1'!H277,IF($D38='W1'!$A$70,'W1'!H277,IF($D38='W1'!$A$71,"")))))))))))))</f>
        <v/>
      </c>
      <c r="K38" s="367"/>
      <c r="L38" s="366" t="str">
        <f>IF($D38='W1'!$A$59,'W1'!F$59,IF($D38='W1'!$A$60,'W1'!F$60,IF($D38='W1'!$A$61,'W1'!F$61,IF($D38='W1'!$A$62,'W1'!F$62,IF($D38='W1'!$A$63,'W1'!F$63,IF($D38='W1'!$A$64,'W1'!F$64,IF($D38='W1'!$A$65,'W1'!F$65,IF($D38='W1'!$A$66,'W1'!F$66,IF($D38='W1'!$A$67,'W1'!F$67,IF($D38='W1'!$A$68,'W1'!J277,IF($D38='W1'!$A$69,'W1'!J277,IF($D38='W1'!$A$70,'W1'!J277,IF($D38='W1'!$A$71,"")))))))))))))</f>
        <v/>
      </c>
      <c r="M38" s="367"/>
      <c r="N38" s="187">
        <f>IF(N10=0,0,IF(AND($D38="F-SMRA",N10=0),0,IF(AND($D38="F-SMRB",N10=0),0,IF(AND($D38="F-SMRC",N10=0),0,IF($D38='W1'!$A$68,'W1'!B303,IF($D38='W1'!$A$69,'W1'!B303,IF($D38='W1'!$A$70,'W1'!B303,ROUND(('Pilot Project Budget'!N10/'W1'!$C$5*'W1'!$C$9*(IF('Pilot Project Budget'!$D38='W1'!$A$47,'W1'!B$47,IF('Pilot Project Budget'!$D38='W1'!$A$48,'W1'!B$48,IF('Pilot Project Budget'!$D38='W1'!$A$49,'W1'!B$49,IF('Pilot Project Budget'!$D38='W1'!$A$50,'W1'!B$50,IF('Pilot Project Budget'!$D38='W1'!$A$51,'W1'!B$51,IF('Pilot Project Budget'!$D38='W1'!$A$52,'W1'!B$52,IF('Pilot Project Budget'!$D38='W1'!$A$53,'W1'!B$53,IF('Pilot Project Budget'!$D38='W1'!$A$54,'W1'!B$54,IF('Pilot Project Budget'!$D38='W1'!$A$55,'W1'!B$55))))))))))),0)+ROUND(N10/'W1'!$C$5*'W1'!$C$10*(IF('Pilot Project Budget'!$D38='W1'!$A$47,'W1'!C$47,IF('Pilot Project Budget'!$D38='W1'!$A$48,'W1'!C$48,IF('Pilot Project Budget'!$D38='W1'!$A$49,'W1'!C$49,IF('Pilot Project Budget'!$D38='W1'!$A$50,'W1'!C$50,IF('Pilot Project Budget'!$D38='W1'!$A$51,'W1'!C$51,IF('Pilot Project Budget'!$D38='W1'!$A$52,'W1'!C$52,IF('Pilot Project Budget'!$D38='W1'!$A$53,'W1'!C$53,IF('Pilot Project Budget'!$D38='W1'!$A$54,'W1'!C$54,IF('Pilot Project Budget'!$D38='W1'!$A$55,'W1'!C$55)))))))))),0))))))))</f>
        <v>0</v>
      </c>
      <c r="O38" s="187">
        <f>IF(O10=0,0,IF(AND($D38="F-SMRA",O10=0),0,IF(AND($D38="F-SMRB",O10=0),0,IF(AND($D38="F-SMRC",O10=0),0,IF($D38='W1'!$A$68,'W1'!D303,IF($D38='W1'!$A$69,'W1'!D303,IF($D38='W1'!$A$70,'W1'!D303,ROUND(('Pilot Project Budget'!O10/'W1'!$D$5*'W1'!$D$9*(IF('Pilot Project Budget'!$D38='W1'!$A$47,'W1'!D$47,IF('Pilot Project Budget'!$D38='W1'!$A$48,'W1'!D$48,IF('Pilot Project Budget'!$D38='W1'!$A$49,'W1'!D$49,IF('Pilot Project Budget'!$D38='W1'!$A$50,'W1'!D$50,IF('Pilot Project Budget'!$D38='W1'!$A$51,'W1'!D$51,IF('Pilot Project Budget'!$D38='W1'!$A$52,'W1'!D$52,IF('Pilot Project Budget'!$D38='W1'!$A$53,'W1'!D$53,IF('Pilot Project Budget'!$D38='W1'!$A$54,'W1'!D$54,IF('Pilot Project Budget'!$D38='W1'!$A$55,'W1'!D$55))))))))))),0)+ROUND(O10/'W1'!$D$5*'W1'!$D$10*(IF('Pilot Project Budget'!$D38='W1'!$A$47,'W1'!E$47,IF('Pilot Project Budget'!$D38='W1'!$A$48,'W1'!E$48,IF('Pilot Project Budget'!$D38='W1'!$A$49,'W1'!E$49,IF('Pilot Project Budget'!$D38='W1'!$A$50,'W1'!E$50,IF('Pilot Project Budget'!$D38='W1'!$A$51,'W1'!E$51,IF('Pilot Project Budget'!$D38='W1'!$A$52,'W1'!E$52,IF('Pilot Project Budget'!$D38='W1'!$A$53,'W1'!E$53,IF('Pilot Project Budget'!$D38='W1'!$A$54,'W1'!E$54,IF('Pilot Project Budget'!$D38='W1'!$A$55,'W1'!E$55)))))))))),0))))))))</f>
        <v>0</v>
      </c>
      <c r="P38" s="187">
        <f>IF(P10=0,0,IF(AND($D38="F-SMRA",P10=0),0,IF(AND($D38="F-SMRB",P10=0),0,IF(AND($D38="F-SMRC",P10=0),0,IF($D38='W1'!$A$68,'W1'!F303,IF($D38='W1'!$A$69,'W1'!F303,IF($D38='W1'!$A$70,'W1'!F303,ROUND(('Pilot Project Budget'!P10/'W1'!$E$5*'W1'!$E$9*(IF('Pilot Project Budget'!$D38='W1'!$A$47,'W1'!F$47,IF('Pilot Project Budget'!$D38='W1'!$A$48,'W1'!F$48,IF('Pilot Project Budget'!$D38='W1'!$A$49,'W1'!F$49,IF('Pilot Project Budget'!$D38='W1'!$A$50,'W1'!F$50,IF('Pilot Project Budget'!$D38='W1'!$A$51,'W1'!F$51,IF('Pilot Project Budget'!$D38='W1'!$A$52,'W1'!F$52,IF('Pilot Project Budget'!$D38='W1'!$A$53,'W1'!F$53,IF('Pilot Project Budget'!$D38='W1'!$A$54,'W1'!F$54,IF('Pilot Project Budget'!$D38='W1'!$A$55,'W1'!F$55))))))))))),0)+ROUND(P10/'W1'!$E$5*'W1'!$E$10*(IF('Pilot Project Budget'!$D38='W1'!$A$47,'W1'!G$47,IF('Pilot Project Budget'!$D38='W1'!$A$48,'W1'!G$48,IF('Pilot Project Budget'!$D38='W1'!$A$49,'W1'!G$49,IF('Pilot Project Budget'!$D38='W1'!$A$50,'W1'!G$50,IF('Pilot Project Budget'!$D38='W1'!$A$51,'W1'!G$51,IF('Pilot Project Budget'!$D38='W1'!$A$52,'W1'!G$52,IF('Pilot Project Budget'!$D38='W1'!$A$53,'W1'!G$53,IF('Pilot Project Budget'!$D38='W1'!$A$54,'W1'!G$54,IF('Pilot Project Budget'!$D38='W1'!$A$55,'W1'!G$55)))))))))),0))))))))</f>
        <v>0</v>
      </c>
      <c r="Q38" s="187">
        <f>IF(Q10=0,0,IF(AND($D38="F-SMRA",Q10=0),0,IF(AND($D38="F-SMRB",Q10=0),0,IF(AND($D38="F-SMRC",Q10=0),0,IF($D38='W1'!$A$68,'W1'!H303,IF($D38='W1'!$A$69,'W1'!H303,IF($D38='W1'!$A$70,'W1'!H303,ROUND(('Pilot Project Budget'!Q10/'W1'!$F$5*'W1'!$F$9*(IF('Pilot Project Budget'!$D38='W1'!$A$47,'W1'!H$47,IF('Pilot Project Budget'!$D38='W1'!$A$48,'W1'!H$48,IF('Pilot Project Budget'!$D38='W1'!$A$49,'W1'!H$49,IF('Pilot Project Budget'!$D38='W1'!$A$50,'W1'!H$50,IF('Pilot Project Budget'!$D38='W1'!$A$51,'W1'!H$51,IF('Pilot Project Budget'!$D38='W1'!$A$52,'W1'!H$52,IF('Pilot Project Budget'!$D38='W1'!$A$53,'W1'!H$53,IF('Pilot Project Budget'!$D38='W1'!$A$54,'W1'!H$54,IF('Pilot Project Budget'!$D38='W1'!$A$55,'W1'!H$55))))))))))),0)+ROUND(Q10/'W1'!$F$5*'W1'!$F$10*(IF('Pilot Project Budget'!$D38='W1'!$A$47,'W1'!I$47,IF('Pilot Project Budget'!$D38='W1'!$A$48,'W1'!I$48,IF('Pilot Project Budget'!$D38='W1'!$A$49,'W1'!I$49,IF('Pilot Project Budget'!$D38='W1'!$A$50,'W1'!I$50,IF('Pilot Project Budget'!$D38='W1'!$A$51,'W1'!I$51,IF('Pilot Project Budget'!$D38='W1'!$A$52,'W1'!I$52,IF('Pilot Project Budget'!$D38='W1'!$A$53,'W1'!I$53,IF('Pilot Project Budget'!$D38='W1'!$A$54,'W1'!I$54,IF('Pilot Project Budget'!$D38='W1'!$A$55,'W1'!I$55)))))))))),0))))))))</f>
        <v>0</v>
      </c>
      <c r="R38" s="187">
        <f>IF(R10=0,0,IF(AND($D38="F-SMRA",R10=0),0,IF(AND($D38="F-SMRB",R10=0),0,IF(AND($D38="F-SMRC",R10=0),0,IF($D38='W1'!$A$68,'W1'!J303,IF($D38='W1'!$A$69,'W1'!J303,IF($D38='W1'!$A$70,'W1'!J303,ROUND(('Pilot Project Budget'!R10/'W1'!$G$5*'W1'!$G$9*(IF('Pilot Project Budget'!$D38='W1'!$A$47,'W1'!J$47,IF('Pilot Project Budget'!$D38='W1'!$A$48,'W1'!J$48,IF('Pilot Project Budget'!$D38='W1'!$A$49,'W1'!J$49,IF('Pilot Project Budget'!$D38='W1'!$A$50,'W1'!J$50,IF('Pilot Project Budget'!$D38='W1'!$A$51,'W1'!J$51,IF('Pilot Project Budget'!$D38='W1'!$A$52,'W1'!J$52,IF('Pilot Project Budget'!$D38='W1'!$A$53,'W1'!J$53,IF('Pilot Project Budget'!$D38='W1'!$A$54,'W1'!J$54,IF('Pilot Project Budget'!$D38='W1'!$A$55,'W1'!J$55))))))))))),0)+ROUND(R10/'W1'!$G$5*'W1'!$G$10*(IF('Pilot Project Budget'!$D38='W1'!$A$47,'W1'!K$47,IF('Pilot Project Budget'!$D38='W1'!$A$48,'W1'!K$48,IF('Pilot Project Budget'!$D38='W1'!$A$49,'W1'!K$49,IF('Pilot Project Budget'!$D38='W1'!$A$50,'W1'!K$50,IF('Pilot Project Budget'!$D38='W1'!$A$51,'W1'!K$51,IF('Pilot Project Budget'!$D38='W1'!$A$52,'W1'!K$52,IF('Pilot Project Budget'!$D38='W1'!$A$53,'W1'!K$53,IF('Pilot Project Budget'!$D38='W1'!$A$54,'W1'!K$54,IF('Pilot Project Budget'!$D38='W1'!$A$55,'W1'!K$55)))))))))),0))))))))</f>
        <v>0</v>
      </c>
      <c r="S38" s="187">
        <f t="shared" si="3"/>
        <v>0</v>
      </c>
      <c r="T38" s="248"/>
      <c r="U38" s="248"/>
      <c r="V38" s="248"/>
      <c r="W38" s="248"/>
      <c r="X38" s="248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x14ac:dyDescent="0.2">
      <c r="A39" s="92">
        <v>4</v>
      </c>
      <c r="B39" s="381">
        <f t="shared" si="2"/>
        <v>0</v>
      </c>
      <c r="C39" s="382"/>
      <c r="D39" s="199" t="s">
        <v>52</v>
      </c>
      <c r="E39" s="226" t="str">
        <f>IF($D39='W1'!$A$59,'W1'!B$59,IF($D39='W1'!$A$60,'W1'!B$60,IF($D39='W1'!$A$61,'W1'!B$61,IF($D39='W1'!$A$62,'W1'!B$62,IF($D39='W1'!$A$63,'W1'!B$63,IF($D39='W1'!$A$64,'W1'!B$64,IF($D39='W1'!$A$65,'W1'!B$65,IF($D39='W1'!$A$66,'W1'!B$66,IF($D39='W1'!$A$67,'W1'!B$67,IF($D39='W1'!$A$68,'W1'!B278,IF($D39='W1'!$A$69,'W1'!B278,IF($D39='W1'!$A$70,'W1'!B278,IF($D39='W1'!$A$71,"")))))))))))))</f>
        <v/>
      </c>
      <c r="F39" s="378" t="str">
        <f>IF($D39='W1'!$A$59,'W1'!C$59,IF($D39='W1'!$A$60,'W1'!C$60,IF($D39='W1'!$A$61,'W1'!C$61,IF($D39='W1'!$A$62,'W1'!C$62,IF($D39='W1'!$A$63,'W1'!C$63,IF($D39='W1'!$A$64,'W1'!C$64,IF($D39='W1'!$A$65,'W1'!C$65,IF($D39='W1'!$A$66,'W1'!C$66,IF($D39='W1'!$A$67,'W1'!C$67,IF($D39='W1'!$A$68,'W1'!D278,IF($D39='W1'!$A$69,'W1'!D278,IF($D39='W1'!$A$70,'W1'!D278,IF($D39='W1'!$A$71,"")))))))))))))</f>
        <v/>
      </c>
      <c r="G39" s="379"/>
      <c r="H39" s="366" t="str">
        <f>IF($D39='W1'!$A$59,'W1'!D$59,IF($D39='W1'!$A$60,'W1'!D$60,IF($D39='W1'!$A$61,'W1'!D$61,IF($D39='W1'!$A$62,'W1'!D$62,IF($D39='W1'!$A$63,'W1'!D$63,IF($D39='W1'!$A$64,'W1'!D$64,IF($D39='W1'!$A$65,'W1'!D$65,IF($D39='W1'!$A$66,'W1'!D$66,IF($D39='W1'!$A$67,'W1'!D$67,IF($D39='W1'!$A$68,'W1'!F278,IF($D39='W1'!$A$69,'W1'!F278,IF($D39='W1'!$A$70,'W1'!F278,IF($D39='W1'!$A$71,"")))))))))))))</f>
        <v/>
      </c>
      <c r="I39" s="367"/>
      <c r="J39" s="366" t="str">
        <f>IF($D39='W1'!$A$59,'W1'!E$59,IF($D39='W1'!$A$60,'W1'!E$60,IF($D39='W1'!$A$61,'W1'!E$61,IF($D39='W1'!$A$62,'W1'!E$62,IF($D39='W1'!$A$63,'W1'!E$63,IF($D39='W1'!$A$64,'W1'!E$64,IF($D39='W1'!$A$65,'W1'!E$65,IF($D39='W1'!$A$66,'W1'!E$66,IF($D39='W1'!$A$67,'W1'!E$67,IF($D39='W1'!$A$68,'W1'!H278,IF($D39='W1'!$A$69,'W1'!H278,IF($D39='W1'!$A$70,'W1'!H278,IF($D39='W1'!$A$71,"")))))))))))))</f>
        <v/>
      </c>
      <c r="K39" s="367"/>
      <c r="L39" s="366" t="str">
        <f>IF($D39='W1'!$A$59,'W1'!F$59,IF($D39='W1'!$A$60,'W1'!F$60,IF($D39='W1'!$A$61,'W1'!F$61,IF($D39='W1'!$A$62,'W1'!F$62,IF($D39='W1'!$A$63,'W1'!F$63,IF($D39='W1'!$A$64,'W1'!F$64,IF($D39='W1'!$A$65,'W1'!F$65,IF($D39='W1'!$A$66,'W1'!F$66,IF($D39='W1'!$A$67,'W1'!F$67,IF($D39='W1'!$A$68,'W1'!J278,IF($D39='W1'!$A$69,'W1'!J278,IF($D39='W1'!$A$70,'W1'!J278,IF($D39='W1'!$A$71,"")))))))))))))</f>
        <v/>
      </c>
      <c r="M39" s="367"/>
      <c r="N39" s="187">
        <f>IF(N11=0,0,IF(AND($D39="F-SMRA",N11=0),0,IF(AND($D39="F-SMRB",N11=0),0,IF(AND($D39="F-SMRC",N11=0),0,IF($D39='W1'!$A$68,'W1'!B304,IF($D39='W1'!$A$69,'W1'!B304,IF($D39='W1'!$A$70,'W1'!B304,ROUND(('Pilot Project Budget'!N11/'W1'!$C$5*'W1'!$C$9*(IF('Pilot Project Budget'!$D39='W1'!$A$47,'W1'!B$47,IF('Pilot Project Budget'!$D39='W1'!$A$48,'W1'!B$48,IF('Pilot Project Budget'!$D39='W1'!$A$49,'W1'!B$49,IF('Pilot Project Budget'!$D39='W1'!$A$50,'W1'!B$50,IF('Pilot Project Budget'!$D39='W1'!$A$51,'W1'!B$51,IF('Pilot Project Budget'!$D39='W1'!$A$52,'W1'!B$52,IF('Pilot Project Budget'!$D39='W1'!$A$53,'W1'!B$53,IF('Pilot Project Budget'!$D39='W1'!$A$54,'W1'!B$54,IF('Pilot Project Budget'!$D39='W1'!$A$55,'W1'!B$55))))))))))),0)+ROUND(N11/'W1'!$C$5*'W1'!$C$10*(IF('Pilot Project Budget'!$D39='W1'!$A$47,'W1'!C$47,IF('Pilot Project Budget'!$D39='W1'!$A$48,'W1'!C$48,IF('Pilot Project Budget'!$D39='W1'!$A$49,'W1'!C$49,IF('Pilot Project Budget'!$D39='W1'!$A$50,'W1'!C$50,IF('Pilot Project Budget'!$D39='W1'!$A$51,'W1'!C$51,IF('Pilot Project Budget'!$D39='W1'!$A$52,'W1'!C$52,IF('Pilot Project Budget'!$D39='W1'!$A$53,'W1'!C$53,IF('Pilot Project Budget'!$D39='W1'!$A$54,'W1'!C$54,IF('Pilot Project Budget'!$D39='W1'!$A$55,'W1'!C$55)))))))))),0))))))))</f>
        <v>0</v>
      </c>
      <c r="O39" s="187">
        <f>IF(O11=0,0,IF(AND($D39="F-SMRA",O11=0),0,IF(AND($D39="F-SMRB",O11=0),0,IF(AND($D39="F-SMRC",O11=0),0,IF($D39='W1'!$A$68,'W1'!D304,IF($D39='W1'!$A$69,'W1'!D304,IF($D39='W1'!$A$70,'W1'!D304,ROUND(('Pilot Project Budget'!O11/'W1'!$D$5*'W1'!$D$9*(IF('Pilot Project Budget'!$D39='W1'!$A$47,'W1'!D$47,IF('Pilot Project Budget'!$D39='W1'!$A$48,'W1'!D$48,IF('Pilot Project Budget'!$D39='W1'!$A$49,'W1'!D$49,IF('Pilot Project Budget'!$D39='W1'!$A$50,'W1'!D$50,IF('Pilot Project Budget'!$D39='W1'!$A$51,'W1'!D$51,IF('Pilot Project Budget'!$D39='W1'!$A$52,'W1'!D$52,IF('Pilot Project Budget'!$D39='W1'!$A$53,'W1'!D$53,IF('Pilot Project Budget'!$D39='W1'!$A$54,'W1'!D$54,IF('Pilot Project Budget'!$D39='W1'!$A$55,'W1'!D$55))))))))))),0)+ROUND(O11/'W1'!$D$5*'W1'!$D$10*(IF('Pilot Project Budget'!$D39='W1'!$A$47,'W1'!E$47,IF('Pilot Project Budget'!$D39='W1'!$A$48,'W1'!E$48,IF('Pilot Project Budget'!$D39='W1'!$A$49,'W1'!E$49,IF('Pilot Project Budget'!$D39='W1'!$A$50,'W1'!E$50,IF('Pilot Project Budget'!$D39='W1'!$A$51,'W1'!E$51,IF('Pilot Project Budget'!$D39='W1'!$A$52,'W1'!E$52,IF('Pilot Project Budget'!$D39='W1'!$A$53,'W1'!E$53,IF('Pilot Project Budget'!$D39='W1'!$A$54,'W1'!E$54,IF('Pilot Project Budget'!$D39='W1'!$A$55,'W1'!E$55)))))))))),0))))))))</f>
        <v>0</v>
      </c>
      <c r="P39" s="187">
        <f>IF(P11=0,0,IF(AND($D39="F-SMRA",P11=0),0,IF(AND($D39="F-SMRB",P11=0),0,IF(AND($D39="F-SMRC",P11=0),0,IF($D39='W1'!$A$68,'W1'!F304,IF($D39='W1'!$A$69,'W1'!F304,IF($D39='W1'!$A$70,'W1'!F304,ROUND(('Pilot Project Budget'!P11/'W1'!$E$5*'W1'!$E$9*(IF('Pilot Project Budget'!$D39='W1'!$A$47,'W1'!F$47,IF('Pilot Project Budget'!$D39='W1'!$A$48,'W1'!F$48,IF('Pilot Project Budget'!$D39='W1'!$A$49,'W1'!F$49,IF('Pilot Project Budget'!$D39='W1'!$A$50,'W1'!F$50,IF('Pilot Project Budget'!$D39='W1'!$A$51,'W1'!F$51,IF('Pilot Project Budget'!$D39='W1'!$A$52,'W1'!F$52,IF('Pilot Project Budget'!$D39='W1'!$A$53,'W1'!F$53,IF('Pilot Project Budget'!$D39='W1'!$A$54,'W1'!F$54,IF('Pilot Project Budget'!$D39='W1'!$A$55,'W1'!F$55))))))))))),0)+ROUND(P11/'W1'!$E$5*'W1'!$E$10*(IF('Pilot Project Budget'!$D39='W1'!$A$47,'W1'!G$47,IF('Pilot Project Budget'!$D39='W1'!$A$48,'W1'!G$48,IF('Pilot Project Budget'!$D39='W1'!$A$49,'W1'!G$49,IF('Pilot Project Budget'!$D39='W1'!$A$50,'W1'!G$50,IF('Pilot Project Budget'!$D39='W1'!$A$51,'W1'!G$51,IF('Pilot Project Budget'!$D39='W1'!$A$52,'W1'!G$52,IF('Pilot Project Budget'!$D39='W1'!$A$53,'W1'!G$53,IF('Pilot Project Budget'!$D39='W1'!$A$54,'W1'!G$54,IF('Pilot Project Budget'!$D39='W1'!$A$55,'W1'!G$55)))))))))),0))))))))</f>
        <v>0</v>
      </c>
      <c r="Q39" s="187">
        <f>IF(Q11=0,0,IF(AND($D39="F-SMRA",Q11=0),0,IF(AND($D39="F-SMRB",Q11=0),0,IF(AND($D39="F-SMRC",Q11=0),0,IF($D39='W1'!$A$68,'W1'!H304,IF($D39='W1'!$A$69,'W1'!H304,IF($D39='W1'!$A$70,'W1'!H304,ROUND(('Pilot Project Budget'!Q11/'W1'!$F$5*'W1'!$F$9*(IF('Pilot Project Budget'!$D39='W1'!$A$47,'W1'!H$47,IF('Pilot Project Budget'!$D39='W1'!$A$48,'W1'!H$48,IF('Pilot Project Budget'!$D39='W1'!$A$49,'W1'!H$49,IF('Pilot Project Budget'!$D39='W1'!$A$50,'W1'!H$50,IF('Pilot Project Budget'!$D39='W1'!$A$51,'W1'!H$51,IF('Pilot Project Budget'!$D39='W1'!$A$52,'W1'!H$52,IF('Pilot Project Budget'!$D39='W1'!$A$53,'W1'!H$53,IF('Pilot Project Budget'!$D39='W1'!$A$54,'W1'!H$54,IF('Pilot Project Budget'!$D39='W1'!$A$55,'W1'!H$55))))))))))),0)+ROUND(Q11/'W1'!$F$5*'W1'!$F$10*(IF('Pilot Project Budget'!$D39='W1'!$A$47,'W1'!I$47,IF('Pilot Project Budget'!$D39='W1'!$A$48,'W1'!I$48,IF('Pilot Project Budget'!$D39='W1'!$A$49,'W1'!I$49,IF('Pilot Project Budget'!$D39='W1'!$A$50,'W1'!I$50,IF('Pilot Project Budget'!$D39='W1'!$A$51,'W1'!I$51,IF('Pilot Project Budget'!$D39='W1'!$A$52,'W1'!I$52,IF('Pilot Project Budget'!$D39='W1'!$A$53,'W1'!I$53,IF('Pilot Project Budget'!$D39='W1'!$A$54,'W1'!I$54,IF('Pilot Project Budget'!$D39='W1'!$A$55,'W1'!I$55)))))))))),0))))))))</f>
        <v>0</v>
      </c>
      <c r="R39" s="187">
        <f>IF(R11=0,0,IF(AND($D39="F-SMRA",R11=0),0,IF(AND($D39="F-SMRB",R11=0),0,IF(AND($D39="F-SMRC",R11=0),0,IF($D39='W1'!$A$68,'W1'!J304,IF($D39='W1'!$A$69,'W1'!J304,IF($D39='W1'!$A$70,'W1'!J304,ROUND(('Pilot Project Budget'!R11/'W1'!$G$5*'W1'!$G$9*(IF('Pilot Project Budget'!$D39='W1'!$A$47,'W1'!J$47,IF('Pilot Project Budget'!$D39='W1'!$A$48,'W1'!J$48,IF('Pilot Project Budget'!$D39='W1'!$A$49,'W1'!J$49,IF('Pilot Project Budget'!$D39='W1'!$A$50,'W1'!J$50,IF('Pilot Project Budget'!$D39='W1'!$A$51,'W1'!J$51,IF('Pilot Project Budget'!$D39='W1'!$A$52,'W1'!J$52,IF('Pilot Project Budget'!$D39='W1'!$A$53,'W1'!J$53,IF('Pilot Project Budget'!$D39='W1'!$A$54,'W1'!J$54,IF('Pilot Project Budget'!$D39='W1'!$A$55,'W1'!J$55))))))))))),0)+ROUND(R11/'W1'!$G$5*'W1'!$G$10*(IF('Pilot Project Budget'!$D39='W1'!$A$47,'W1'!K$47,IF('Pilot Project Budget'!$D39='W1'!$A$48,'W1'!K$48,IF('Pilot Project Budget'!$D39='W1'!$A$49,'W1'!K$49,IF('Pilot Project Budget'!$D39='W1'!$A$50,'W1'!K$50,IF('Pilot Project Budget'!$D39='W1'!$A$51,'W1'!K$51,IF('Pilot Project Budget'!$D39='W1'!$A$52,'W1'!K$52,IF('Pilot Project Budget'!$D39='W1'!$A$53,'W1'!K$53,IF('Pilot Project Budget'!$D39='W1'!$A$54,'W1'!K$54,IF('Pilot Project Budget'!$D39='W1'!$A$55,'W1'!K$55)))))))))),0))))))))</f>
        <v>0</v>
      </c>
      <c r="S39" s="187">
        <f t="shared" si="3"/>
        <v>0</v>
      </c>
      <c r="T39" s="248"/>
      <c r="U39" s="248"/>
      <c r="V39" s="248"/>
      <c r="W39" s="248"/>
      <c r="X39" s="248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x14ac:dyDescent="0.2">
      <c r="A40" s="92">
        <v>5</v>
      </c>
      <c r="B40" s="381">
        <f t="shared" si="2"/>
        <v>0</v>
      </c>
      <c r="C40" s="382"/>
      <c r="D40" s="199" t="s">
        <v>52</v>
      </c>
      <c r="E40" s="226" t="str">
        <f>IF($D40='W1'!$A$59,'W1'!B$59,IF($D40='W1'!$A$60,'W1'!B$60,IF($D40='W1'!$A$61,'W1'!B$61,IF($D40='W1'!$A$62,'W1'!B$62,IF($D40='W1'!$A$63,'W1'!B$63,IF($D40='W1'!$A$64,'W1'!B$64,IF($D40='W1'!$A$65,'W1'!B$65,IF($D40='W1'!$A$66,'W1'!B$66,IF($D40='W1'!$A$67,'W1'!B$67,IF($D40='W1'!$A$68,'W1'!B279,IF($D40='W1'!$A$69,'W1'!B279,IF($D40='W1'!$A$70,'W1'!B279,IF($D40='W1'!$A$71,"")))))))))))))</f>
        <v/>
      </c>
      <c r="F40" s="378" t="str">
        <f>IF($D40='W1'!$A$59,'W1'!C$59,IF($D40='W1'!$A$60,'W1'!C$60,IF($D40='W1'!$A$61,'W1'!C$61,IF($D40='W1'!$A$62,'W1'!C$62,IF($D40='W1'!$A$63,'W1'!C$63,IF($D40='W1'!$A$64,'W1'!C$64,IF($D40='W1'!$A$65,'W1'!C$65,IF($D40='W1'!$A$66,'W1'!C$66,IF($D40='W1'!$A$67,'W1'!C$67,IF($D40='W1'!$A$68,'W1'!D279,IF($D40='W1'!$A$69,'W1'!D279,IF($D40='W1'!$A$70,'W1'!D279,IF($D40='W1'!$A$71,"")))))))))))))</f>
        <v/>
      </c>
      <c r="G40" s="379"/>
      <c r="H40" s="366" t="str">
        <f>IF($D40='W1'!$A$59,'W1'!D$59,IF($D40='W1'!$A$60,'W1'!D$60,IF($D40='W1'!$A$61,'W1'!D$61,IF($D40='W1'!$A$62,'W1'!D$62,IF($D40='W1'!$A$63,'W1'!D$63,IF($D40='W1'!$A$64,'W1'!D$64,IF($D40='W1'!$A$65,'W1'!D$65,IF($D40='W1'!$A$66,'W1'!D$66,IF($D40='W1'!$A$67,'W1'!D$67,IF($D40='W1'!$A$68,'W1'!F279,IF($D40='W1'!$A$69,'W1'!F279,IF($D40='W1'!$A$70,'W1'!F279,IF($D40='W1'!$A$71,"")))))))))))))</f>
        <v/>
      </c>
      <c r="I40" s="367"/>
      <c r="J40" s="366" t="str">
        <f>IF($D40='W1'!$A$59,'W1'!E$59,IF($D40='W1'!$A$60,'W1'!E$60,IF($D40='W1'!$A$61,'W1'!E$61,IF($D40='W1'!$A$62,'W1'!E$62,IF($D40='W1'!$A$63,'W1'!E$63,IF($D40='W1'!$A$64,'W1'!E$64,IF($D40='W1'!$A$65,'W1'!E$65,IF($D40='W1'!$A$66,'W1'!E$66,IF($D40='W1'!$A$67,'W1'!E$67,IF($D40='W1'!$A$68,'W1'!H279,IF($D40='W1'!$A$69,'W1'!H279,IF($D40='W1'!$A$70,'W1'!H279,IF($D40='W1'!$A$71,"")))))))))))))</f>
        <v/>
      </c>
      <c r="K40" s="367"/>
      <c r="L40" s="366" t="str">
        <f>IF($D40='W1'!$A$59,'W1'!F$59,IF($D40='W1'!$A$60,'W1'!F$60,IF($D40='W1'!$A$61,'W1'!F$61,IF($D40='W1'!$A$62,'W1'!F$62,IF($D40='W1'!$A$63,'W1'!F$63,IF($D40='W1'!$A$64,'W1'!F$64,IF($D40='W1'!$A$65,'W1'!F$65,IF($D40='W1'!$A$66,'W1'!F$66,IF($D40='W1'!$A$67,'W1'!F$67,IF($D40='W1'!$A$68,'W1'!J279,IF($D40='W1'!$A$69,'W1'!J279,IF($D40='W1'!$A$70,'W1'!J279,IF($D40='W1'!$A$71,"")))))))))))))</f>
        <v/>
      </c>
      <c r="M40" s="367"/>
      <c r="N40" s="187">
        <f>IF(N12=0,0,IF(AND($D40="F-SMRA",N12=0),0,IF(AND($D40="F-SMRB",N12=0),0,IF(AND($D40="F-SMRC",N12=0),0,IF($D40='W1'!$A$68,'W1'!B305,IF($D40='W1'!$A$69,'W1'!B305,IF($D40='W1'!$A$70,'W1'!B305,ROUND(('Pilot Project Budget'!N12/'W1'!$C$5*'W1'!$C$9*(IF('Pilot Project Budget'!$D40='W1'!$A$47,'W1'!B$47,IF('Pilot Project Budget'!$D40='W1'!$A$48,'W1'!B$48,IF('Pilot Project Budget'!$D40='W1'!$A$49,'W1'!B$49,IF('Pilot Project Budget'!$D40='W1'!$A$50,'W1'!B$50,IF('Pilot Project Budget'!$D40='W1'!$A$51,'W1'!B$51,IF('Pilot Project Budget'!$D40='W1'!$A$52,'W1'!B$52,IF('Pilot Project Budget'!$D40='W1'!$A$53,'W1'!B$53,IF('Pilot Project Budget'!$D40='W1'!$A$54,'W1'!B$54,IF('Pilot Project Budget'!$D40='W1'!$A$55,'W1'!B$55))))))))))),0)+ROUND(N12/'W1'!$C$5*'W1'!$C$10*(IF('Pilot Project Budget'!$D40='W1'!$A$47,'W1'!C$47,IF('Pilot Project Budget'!$D40='W1'!$A$48,'W1'!C$48,IF('Pilot Project Budget'!$D40='W1'!$A$49,'W1'!C$49,IF('Pilot Project Budget'!$D40='W1'!$A$50,'W1'!C$50,IF('Pilot Project Budget'!$D40='W1'!$A$51,'W1'!C$51,IF('Pilot Project Budget'!$D40='W1'!$A$52,'W1'!C$52,IF('Pilot Project Budget'!$D40='W1'!$A$53,'W1'!C$53,IF('Pilot Project Budget'!$D40='W1'!$A$54,'W1'!C$54,IF('Pilot Project Budget'!$D40='W1'!$A$55,'W1'!C$55)))))))))),0))))))))</f>
        <v>0</v>
      </c>
      <c r="O40" s="187">
        <f>IF(O12=0,0,IF(AND($D40="F-SMRA",O12=0),0,IF(AND($D40="F-SMRB",O12=0),0,IF(AND($D40="F-SMRC",O12=0),0,IF($D40='W1'!$A$68,'W1'!D305,IF($D40='W1'!$A$69,'W1'!D305,IF($D40='W1'!$A$70,'W1'!D305,ROUND(('Pilot Project Budget'!O12/'W1'!$D$5*'W1'!$D$9*(IF('Pilot Project Budget'!$D40='W1'!$A$47,'W1'!D$47,IF('Pilot Project Budget'!$D40='W1'!$A$48,'W1'!D$48,IF('Pilot Project Budget'!$D40='W1'!$A$49,'W1'!D$49,IF('Pilot Project Budget'!$D40='W1'!$A$50,'W1'!D$50,IF('Pilot Project Budget'!$D40='W1'!$A$51,'W1'!D$51,IF('Pilot Project Budget'!$D40='W1'!$A$52,'W1'!D$52,IF('Pilot Project Budget'!$D40='W1'!$A$53,'W1'!D$53,IF('Pilot Project Budget'!$D40='W1'!$A$54,'W1'!D$54,IF('Pilot Project Budget'!$D40='W1'!$A$55,'W1'!D$55))))))))))),0)+ROUND(O12/'W1'!$D$5*'W1'!$D$10*(IF('Pilot Project Budget'!$D40='W1'!$A$47,'W1'!E$47,IF('Pilot Project Budget'!$D40='W1'!$A$48,'W1'!E$48,IF('Pilot Project Budget'!$D40='W1'!$A$49,'W1'!E$49,IF('Pilot Project Budget'!$D40='W1'!$A$50,'W1'!E$50,IF('Pilot Project Budget'!$D40='W1'!$A$51,'W1'!E$51,IF('Pilot Project Budget'!$D40='W1'!$A$52,'W1'!E$52,IF('Pilot Project Budget'!$D40='W1'!$A$53,'W1'!E$53,IF('Pilot Project Budget'!$D40='W1'!$A$54,'W1'!E$54,IF('Pilot Project Budget'!$D40='W1'!$A$55,'W1'!E$55)))))))))),0))))))))</f>
        <v>0</v>
      </c>
      <c r="P40" s="187">
        <f>IF(P12=0,0,IF(AND($D40="F-SMRA",P12=0),0,IF(AND($D40="F-SMRB",P12=0),0,IF(AND($D40="F-SMRC",P12=0),0,IF($D40='W1'!$A$68,'W1'!F305,IF($D40='W1'!$A$69,'W1'!F305,IF($D40='W1'!$A$70,'W1'!F305,ROUND(('Pilot Project Budget'!P12/'W1'!$E$5*'W1'!$E$9*(IF('Pilot Project Budget'!$D40='W1'!$A$47,'W1'!F$47,IF('Pilot Project Budget'!$D40='W1'!$A$48,'W1'!F$48,IF('Pilot Project Budget'!$D40='W1'!$A$49,'W1'!F$49,IF('Pilot Project Budget'!$D40='W1'!$A$50,'W1'!F$50,IF('Pilot Project Budget'!$D40='W1'!$A$51,'W1'!F$51,IF('Pilot Project Budget'!$D40='W1'!$A$52,'W1'!F$52,IF('Pilot Project Budget'!$D40='W1'!$A$53,'W1'!F$53,IF('Pilot Project Budget'!$D40='W1'!$A$54,'W1'!F$54,IF('Pilot Project Budget'!$D40='W1'!$A$55,'W1'!F$55))))))))))),0)+ROUND(P12/'W1'!$E$5*'W1'!$E$10*(IF('Pilot Project Budget'!$D40='W1'!$A$47,'W1'!G$47,IF('Pilot Project Budget'!$D40='W1'!$A$48,'W1'!G$48,IF('Pilot Project Budget'!$D40='W1'!$A$49,'W1'!G$49,IF('Pilot Project Budget'!$D40='W1'!$A$50,'W1'!G$50,IF('Pilot Project Budget'!$D40='W1'!$A$51,'W1'!G$51,IF('Pilot Project Budget'!$D40='W1'!$A$52,'W1'!G$52,IF('Pilot Project Budget'!$D40='W1'!$A$53,'W1'!G$53,IF('Pilot Project Budget'!$D40='W1'!$A$54,'W1'!G$54,IF('Pilot Project Budget'!$D40='W1'!$A$55,'W1'!G$55)))))))))),0))))))))</f>
        <v>0</v>
      </c>
      <c r="Q40" s="187">
        <f>IF(Q12=0,0,IF(AND($D40="F-SMRA",Q12=0),0,IF(AND($D40="F-SMRB",Q12=0),0,IF(AND($D40="F-SMRC",Q12=0),0,IF($D40='W1'!$A$68,'W1'!H305,IF($D40='W1'!$A$69,'W1'!H305,IF($D40='W1'!$A$70,'W1'!H305,ROUND(('Pilot Project Budget'!Q12/'W1'!$F$5*'W1'!$F$9*(IF('Pilot Project Budget'!$D40='W1'!$A$47,'W1'!H$47,IF('Pilot Project Budget'!$D40='W1'!$A$48,'W1'!H$48,IF('Pilot Project Budget'!$D40='W1'!$A$49,'W1'!H$49,IF('Pilot Project Budget'!$D40='W1'!$A$50,'W1'!H$50,IF('Pilot Project Budget'!$D40='W1'!$A$51,'W1'!H$51,IF('Pilot Project Budget'!$D40='W1'!$A$52,'W1'!H$52,IF('Pilot Project Budget'!$D40='W1'!$A$53,'W1'!H$53,IF('Pilot Project Budget'!$D40='W1'!$A$54,'W1'!H$54,IF('Pilot Project Budget'!$D40='W1'!$A$55,'W1'!H$55))))))))))),0)+ROUND(Q12/'W1'!$F$5*'W1'!$F$10*(IF('Pilot Project Budget'!$D40='W1'!$A$47,'W1'!I$47,IF('Pilot Project Budget'!$D40='W1'!$A$48,'W1'!I$48,IF('Pilot Project Budget'!$D40='W1'!$A$49,'W1'!I$49,IF('Pilot Project Budget'!$D40='W1'!$A$50,'W1'!I$50,IF('Pilot Project Budget'!$D40='W1'!$A$51,'W1'!I$51,IF('Pilot Project Budget'!$D40='W1'!$A$52,'W1'!I$52,IF('Pilot Project Budget'!$D40='W1'!$A$53,'W1'!I$53,IF('Pilot Project Budget'!$D40='W1'!$A$54,'W1'!I$54,IF('Pilot Project Budget'!$D40='W1'!$A$55,'W1'!I$55)))))))))),0))))))))</f>
        <v>0</v>
      </c>
      <c r="R40" s="187">
        <f>IF(R12=0,0,IF(AND($D40="F-SMRA",R12=0),0,IF(AND($D40="F-SMRB",R12=0),0,IF(AND($D40="F-SMRC",R12=0),0,IF($D40='W1'!$A$68,'W1'!J305,IF($D40='W1'!$A$69,'W1'!J305,IF($D40='W1'!$A$70,'W1'!J305,ROUND(('Pilot Project Budget'!R12/'W1'!$G$5*'W1'!$G$9*(IF('Pilot Project Budget'!$D40='W1'!$A$47,'W1'!J$47,IF('Pilot Project Budget'!$D40='W1'!$A$48,'W1'!J$48,IF('Pilot Project Budget'!$D40='W1'!$A$49,'W1'!J$49,IF('Pilot Project Budget'!$D40='W1'!$A$50,'W1'!J$50,IF('Pilot Project Budget'!$D40='W1'!$A$51,'W1'!J$51,IF('Pilot Project Budget'!$D40='W1'!$A$52,'W1'!J$52,IF('Pilot Project Budget'!$D40='W1'!$A$53,'W1'!J$53,IF('Pilot Project Budget'!$D40='W1'!$A$54,'W1'!J$54,IF('Pilot Project Budget'!$D40='W1'!$A$55,'W1'!J$55))))))))))),0)+ROUND(R12/'W1'!$G$5*'W1'!$G$10*(IF('Pilot Project Budget'!$D40='W1'!$A$47,'W1'!K$47,IF('Pilot Project Budget'!$D40='W1'!$A$48,'W1'!K$48,IF('Pilot Project Budget'!$D40='W1'!$A$49,'W1'!K$49,IF('Pilot Project Budget'!$D40='W1'!$A$50,'W1'!K$50,IF('Pilot Project Budget'!$D40='W1'!$A$51,'W1'!K$51,IF('Pilot Project Budget'!$D40='W1'!$A$52,'W1'!K$52,IF('Pilot Project Budget'!$D40='W1'!$A$53,'W1'!K$53,IF('Pilot Project Budget'!$D40='W1'!$A$54,'W1'!K$54,IF('Pilot Project Budget'!$D40='W1'!$A$55,'W1'!K$55)))))))))),0))))))))</f>
        <v>0</v>
      </c>
      <c r="S40" s="187">
        <f t="shared" si="3"/>
        <v>0</v>
      </c>
      <c r="T40" s="248"/>
      <c r="U40" s="248"/>
      <c r="V40" s="248"/>
      <c r="W40" s="248"/>
      <c r="X40" s="248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hidden="1" x14ac:dyDescent="0.2">
      <c r="A41" s="92">
        <v>6</v>
      </c>
      <c r="B41" s="381">
        <f t="shared" si="2"/>
        <v>0</v>
      </c>
      <c r="C41" s="382"/>
      <c r="D41" s="199" t="s">
        <v>52</v>
      </c>
      <c r="E41" s="226" t="str">
        <f>IF($D41='W1'!$A$59,'W1'!B$59,IF($D41='W1'!$A$60,'W1'!B$60,IF($D41='W1'!$A$61,'W1'!B$61,IF($D41='W1'!$A$62,'W1'!B$62,IF($D41='W1'!$A$63,'W1'!B$63,IF($D41='W1'!$A$64,'W1'!B$64,IF($D41='W1'!$A$65,'W1'!B$65,IF($D41='W1'!$A$66,'W1'!B$66,IF($D41='W1'!$A$67,'W1'!B$67,IF($D41='W1'!$A$68,'W1'!B280,IF($D41='W1'!$A$69,'W1'!B280,IF($D41='W1'!$A$70,'W1'!B280,IF($D41='W1'!$A$71,"")))))))))))))</f>
        <v/>
      </c>
      <c r="F41" s="378" t="str">
        <f>IF($D41='W1'!$A$59,'W1'!C$59,IF($D41='W1'!$A$60,'W1'!C$60,IF($D41='W1'!$A$61,'W1'!C$61,IF($D41='W1'!$A$62,'W1'!C$62,IF($D41='W1'!$A$63,'W1'!C$63,IF($D41='W1'!$A$64,'W1'!C$64,IF($D41='W1'!$A$65,'W1'!C$65,IF($D41='W1'!$A$66,'W1'!C$66,IF($D41='W1'!$A$67,'W1'!C$67,IF($D41='W1'!$A$68,'W1'!D280,IF($D41='W1'!$A$69,'W1'!D280,IF($D41='W1'!$A$70,'W1'!D280,IF($D41='W1'!$A$71,"")))))))))))))</f>
        <v/>
      </c>
      <c r="G41" s="379"/>
      <c r="H41" s="366" t="str">
        <f>IF($D41='W1'!$A$59,'W1'!D$59,IF($D41='W1'!$A$60,'W1'!D$60,IF($D41='W1'!$A$61,'W1'!D$61,IF($D41='W1'!$A$62,'W1'!D$62,IF($D41='W1'!$A$63,'W1'!D$63,IF($D41='W1'!$A$64,'W1'!D$64,IF($D41='W1'!$A$65,'W1'!D$65,IF($D41='W1'!$A$66,'W1'!D$66,IF($D41='W1'!$A$67,'W1'!D$67,IF($D41='W1'!$A$68,'W1'!F280,IF($D41='W1'!$A$69,'W1'!F280,IF($D41='W1'!$A$70,'W1'!F280,IF($D41='W1'!$A$71,"")))))))))))))</f>
        <v/>
      </c>
      <c r="I41" s="367"/>
      <c r="J41" s="366" t="str">
        <f>IF($D41='W1'!$A$59,'W1'!E$59,IF($D41='W1'!$A$60,'W1'!E$60,IF($D41='W1'!$A$61,'W1'!E$61,IF($D41='W1'!$A$62,'W1'!E$62,IF($D41='W1'!$A$63,'W1'!E$63,IF($D41='W1'!$A$64,'W1'!E$64,IF($D41='W1'!$A$65,'W1'!E$65,IF($D41='W1'!$A$66,'W1'!E$66,IF($D41='W1'!$A$67,'W1'!E$67,IF($D41='W1'!$A$68,'W1'!H280,IF($D41='W1'!$A$69,'W1'!H280,IF($D41='W1'!$A$70,'W1'!H280,IF($D41='W1'!$A$71,"")))))))))))))</f>
        <v/>
      </c>
      <c r="K41" s="367"/>
      <c r="L41" s="366" t="str">
        <f>IF($D41='W1'!$A$59,'W1'!F$59,IF($D41='W1'!$A$60,'W1'!F$60,IF($D41='W1'!$A$61,'W1'!F$61,IF($D41='W1'!$A$62,'W1'!F$62,IF($D41='W1'!$A$63,'W1'!F$63,IF($D41='W1'!$A$64,'W1'!F$64,IF($D41='W1'!$A$65,'W1'!F$65,IF($D41='W1'!$A$66,'W1'!F$66,IF($D41='W1'!$A$67,'W1'!F$67,IF($D41='W1'!$A$68,'W1'!J280,IF($D41='W1'!$A$69,'W1'!J280,IF($D41='W1'!$A$70,'W1'!J280,IF($D41='W1'!$A$71,"")))))))))))))</f>
        <v/>
      </c>
      <c r="M41" s="367"/>
      <c r="N41" s="187">
        <f>IF(N13=0,0,IF(AND($D41="F-SMRA",N13=0),0,IF(AND($D41="F-SMRB",N13=0),0,IF(AND($D41="F-SMRC",N13=0),0,IF($D41='W1'!$A$68,'W1'!B306,IF($D41='W1'!$A$69,'W1'!B306,IF($D41='W1'!$A$70,'W1'!B306,ROUND(('Pilot Project Budget'!N13/'W1'!$C$5*'W1'!$C$9*(IF('Pilot Project Budget'!$D41='W1'!$A$47,'W1'!B$47,IF('Pilot Project Budget'!$D41='W1'!$A$48,'W1'!B$48,IF('Pilot Project Budget'!$D41='W1'!$A$49,'W1'!B$49,IF('Pilot Project Budget'!$D41='W1'!$A$50,'W1'!B$50,IF('Pilot Project Budget'!$D41='W1'!$A$51,'W1'!B$51,IF('Pilot Project Budget'!$D41='W1'!$A$52,'W1'!B$52,IF('Pilot Project Budget'!$D41='W1'!$A$53,'W1'!B$53,IF('Pilot Project Budget'!$D41='W1'!$A$54,'W1'!B$54,IF('Pilot Project Budget'!$D41='W1'!$A$55,'W1'!B$55))))))))))),0)+ROUND(N13/'W1'!$C$5*'W1'!$C$10*(IF('Pilot Project Budget'!$D41='W1'!$A$47,'W1'!C$47,IF('Pilot Project Budget'!$D41='W1'!$A$48,'W1'!C$48,IF('Pilot Project Budget'!$D41='W1'!$A$49,'W1'!C$49,IF('Pilot Project Budget'!$D41='W1'!$A$50,'W1'!C$50,IF('Pilot Project Budget'!$D41='W1'!$A$51,'W1'!C$51,IF('Pilot Project Budget'!$D41='W1'!$A$52,'W1'!C$52,IF('Pilot Project Budget'!$D41='W1'!$A$53,'W1'!C$53,IF('Pilot Project Budget'!$D41='W1'!$A$54,'W1'!C$54,IF('Pilot Project Budget'!$D41='W1'!$A$55,'W1'!C$55)))))))))),0))))))))</f>
        <v>0</v>
      </c>
      <c r="O41" s="187">
        <f>IF(O13=0,0,IF(AND($D41="F-SMRA",O13=0),0,IF(AND($D41="F-SMRB",O13=0),0,IF(AND($D41="F-SMRC",O13=0),0,IF($D41='W1'!$A$68,'W1'!D306,IF($D41='W1'!$A$69,'W1'!D306,IF($D41='W1'!$A$70,'W1'!D306,ROUND(('Pilot Project Budget'!O13/'W1'!$D$5*'W1'!$D$9*(IF('Pilot Project Budget'!$D41='W1'!$A$47,'W1'!D$47,IF('Pilot Project Budget'!$D41='W1'!$A$48,'W1'!D$48,IF('Pilot Project Budget'!$D41='W1'!$A$49,'W1'!D$49,IF('Pilot Project Budget'!$D41='W1'!$A$50,'W1'!D$50,IF('Pilot Project Budget'!$D41='W1'!$A$51,'W1'!D$51,IF('Pilot Project Budget'!$D41='W1'!$A$52,'W1'!D$52,IF('Pilot Project Budget'!$D41='W1'!$A$53,'W1'!D$53,IF('Pilot Project Budget'!$D41='W1'!$A$54,'W1'!D$54,IF('Pilot Project Budget'!$D41='W1'!$A$55,'W1'!D$55))))))))))),0)+ROUND(O13/'W1'!$D$5*'W1'!$D$10*(IF('Pilot Project Budget'!$D41='W1'!$A$47,'W1'!E$47,IF('Pilot Project Budget'!$D41='W1'!$A$48,'W1'!E$48,IF('Pilot Project Budget'!$D41='W1'!$A$49,'W1'!E$49,IF('Pilot Project Budget'!$D41='W1'!$A$50,'W1'!E$50,IF('Pilot Project Budget'!$D41='W1'!$A$51,'W1'!E$51,IF('Pilot Project Budget'!$D41='W1'!$A$52,'W1'!E$52,IF('Pilot Project Budget'!$D41='W1'!$A$53,'W1'!E$53,IF('Pilot Project Budget'!$D41='W1'!$A$54,'W1'!E$54,IF('Pilot Project Budget'!$D41='W1'!$A$55,'W1'!E$55)))))))))),0))))))))</f>
        <v>0</v>
      </c>
      <c r="P41" s="187">
        <f>IF(P13=0,0,IF(AND($D41="F-SMRA",P13=0),0,IF(AND($D41="F-SMRB",P13=0),0,IF(AND($D41="F-SMRC",P13=0),0,IF($D41='W1'!$A$68,'W1'!F306,IF($D41='W1'!$A$69,'W1'!F306,IF($D41='W1'!$A$70,'W1'!F306,ROUND(('Pilot Project Budget'!P13/'W1'!$E$5*'W1'!$E$9*(IF('Pilot Project Budget'!$D41='W1'!$A$47,'W1'!F$47,IF('Pilot Project Budget'!$D41='W1'!$A$48,'W1'!F$48,IF('Pilot Project Budget'!$D41='W1'!$A$49,'W1'!F$49,IF('Pilot Project Budget'!$D41='W1'!$A$50,'W1'!F$50,IF('Pilot Project Budget'!$D41='W1'!$A$51,'W1'!F$51,IF('Pilot Project Budget'!$D41='W1'!$A$52,'W1'!F$52,IF('Pilot Project Budget'!$D41='W1'!$A$53,'W1'!F$53,IF('Pilot Project Budget'!$D41='W1'!$A$54,'W1'!F$54,IF('Pilot Project Budget'!$D41='W1'!$A$55,'W1'!F$55))))))))))),0)+ROUND(P13/'W1'!$E$5*'W1'!$E$10*(IF('Pilot Project Budget'!$D41='W1'!$A$47,'W1'!G$47,IF('Pilot Project Budget'!$D41='W1'!$A$48,'W1'!G$48,IF('Pilot Project Budget'!$D41='W1'!$A$49,'W1'!G$49,IF('Pilot Project Budget'!$D41='W1'!$A$50,'W1'!G$50,IF('Pilot Project Budget'!$D41='W1'!$A$51,'W1'!G$51,IF('Pilot Project Budget'!$D41='W1'!$A$52,'W1'!G$52,IF('Pilot Project Budget'!$D41='W1'!$A$53,'W1'!G$53,IF('Pilot Project Budget'!$D41='W1'!$A$54,'W1'!G$54,IF('Pilot Project Budget'!$D41='W1'!$A$55,'W1'!G$55)))))))))),0))))))))</f>
        <v>0</v>
      </c>
      <c r="Q41" s="187">
        <f>IF(Q13=0,0,IF(AND($D41="F-SMRA",Q13=0),0,IF(AND($D41="F-SMRB",Q13=0),0,IF(AND($D41="F-SMRC",Q13=0),0,IF($D41='W1'!$A$68,'W1'!H306,IF($D41='W1'!$A$69,'W1'!H306,IF($D41='W1'!$A$70,'W1'!H306,ROUND(('Pilot Project Budget'!Q13/'W1'!$F$5*'W1'!$F$9*(IF('Pilot Project Budget'!$D41='W1'!$A$47,'W1'!H$47,IF('Pilot Project Budget'!$D41='W1'!$A$48,'W1'!H$48,IF('Pilot Project Budget'!$D41='W1'!$A$49,'W1'!H$49,IF('Pilot Project Budget'!$D41='W1'!$A$50,'W1'!H$50,IF('Pilot Project Budget'!$D41='W1'!$A$51,'W1'!H$51,IF('Pilot Project Budget'!$D41='W1'!$A$52,'W1'!H$52,IF('Pilot Project Budget'!$D41='W1'!$A$53,'W1'!H$53,IF('Pilot Project Budget'!$D41='W1'!$A$54,'W1'!H$54,IF('Pilot Project Budget'!$D41='W1'!$A$55,'W1'!H$55))))))))))),0)+ROUND(Q13/'W1'!$F$5*'W1'!$F$10*(IF('Pilot Project Budget'!$D41='W1'!$A$47,'W1'!I$47,IF('Pilot Project Budget'!$D41='W1'!$A$48,'W1'!I$48,IF('Pilot Project Budget'!$D41='W1'!$A$49,'W1'!I$49,IF('Pilot Project Budget'!$D41='W1'!$A$50,'W1'!I$50,IF('Pilot Project Budget'!$D41='W1'!$A$51,'W1'!I$51,IF('Pilot Project Budget'!$D41='W1'!$A$52,'W1'!I$52,IF('Pilot Project Budget'!$D41='W1'!$A$53,'W1'!I$53,IF('Pilot Project Budget'!$D41='W1'!$A$54,'W1'!I$54,IF('Pilot Project Budget'!$D41='W1'!$A$55,'W1'!I$55)))))))))),0))))))))</f>
        <v>0</v>
      </c>
      <c r="R41" s="187">
        <f>IF(R13=0,0,IF(AND($D41="F-SMRA",R13=0),0,IF(AND($D41="F-SMRB",R13=0),0,IF(AND($D41="F-SMRC",R13=0),0,IF($D41='W1'!$A$68,'W1'!J306,IF($D41='W1'!$A$69,'W1'!J306,IF($D41='W1'!$A$70,'W1'!J306,ROUND(('Pilot Project Budget'!R13/'W1'!$G$5*'W1'!$G$9*(IF('Pilot Project Budget'!$D41='W1'!$A$47,'W1'!J$47,IF('Pilot Project Budget'!$D41='W1'!$A$48,'W1'!J$48,IF('Pilot Project Budget'!$D41='W1'!$A$49,'W1'!J$49,IF('Pilot Project Budget'!$D41='W1'!$A$50,'W1'!J$50,IF('Pilot Project Budget'!$D41='W1'!$A$51,'W1'!J$51,IF('Pilot Project Budget'!$D41='W1'!$A$52,'W1'!J$52,IF('Pilot Project Budget'!$D41='W1'!$A$53,'W1'!J$53,IF('Pilot Project Budget'!$D41='W1'!$A$54,'W1'!J$54,IF('Pilot Project Budget'!$D41='W1'!$A$55,'W1'!J$55))))))))))),0)+ROUND(R13/'W1'!$G$5*'W1'!$G$10*(IF('Pilot Project Budget'!$D41='W1'!$A$47,'W1'!K$47,IF('Pilot Project Budget'!$D41='W1'!$A$48,'W1'!K$48,IF('Pilot Project Budget'!$D41='W1'!$A$49,'W1'!K$49,IF('Pilot Project Budget'!$D41='W1'!$A$50,'W1'!K$50,IF('Pilot Project Budget'!$D41='W1'!$A$51,'W1'!K$51,IF('Pilot Project Budget'!$D41='W1'!$A$52,'W1'!K$52,IF('Pilot Project Budget'!$D41='W1'!$A$53,'W1'!K$53,IF('Pilot Project Budget'!$D41='W1'!$A$54,'W1'!K$54,IF('Pilot Project Budget'!$D41='W1'!$A$55,'W1'!K$55)))))))))),0))))))))</f>
        <v>0</v>
      </c>
      <c r="S41" s="187">
        <f t="shared" si="3"/>
        <v>0</v>
      </c>
      <c r="T41" s="248"/>
      <c r="U41" s="248"/>
      <c r="V41" s="248"/>
      <c r="W41" s="248"/>
      <c r="X41" s="248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hidden="1" x14ac:dyDescent="0.2">
      <c r="A42" s="92">
        <v>7</v>
      </c>
      <c r="B42" s="381">
        <f t="shared" si="2"/>
        <v>0</v>
      </c>
      <c r="C42" s="382"/>
      <c r="D42" s="199" t="s">
        <v>52</v>
      </c>
      <c r="E42" s="226" t="str">
        <f>IF($D42='W1'!$A$59,'W1'!B$59,IF($D42='W1'!$A$60,'W1'!B$60,IF($D42='W1'!$A$61,'W1'!B$61,IF($D42='W1'!$A$62,'W1'!B$62,IF($D42='W1'!$A$63,'W1'!B$63,IF($D42='W1'!$A$64,'W1'!B$64,IF($D42='W1'!$A$65,'W1'!B$65,IF($D42='W1'!$A$66,'W1'!B$66,IF($D42='W1'!$A$67,'W1'!B$67,IF($D42='W1'!$A$68,'W1'!B281,IF($D42='W1'!$A$69,'W1'!B281,IF($D42='W1'!$A$70,'W1'!B281,IF($D42='W1'!$A$71,"")))))))))))))</f>
        <v/>
      </c>
      <c r="F42" s="378" t="str">
        <f>IF($D42='W1'!$A$59,'W1'!C$59,IF($D42='W1'!$A$60,'W1'!C$60,IF($D42='W1'!$A$61,'W1'!C$61,IF($D42='W1'!$A$62,'W1'!C$62,IF($D42='W1'!$A$63,'W1'!C$63,IF($D42='W1'!$A$64,'W1'!C$64,IF($D42='W1'!$A$65,'W1'!C$65,IF($D42='W1'!$A$66,'W1'!C$66,IF($D42='W1'!$A$67,'W1'!C$67,IF($D42='W1'!$A$68,'W1'!D281,IF($D42='W1'!$A$69,'W1'!D281,IF($D42='W1'!$A$70,'W1'!D281,IF($D42='W1'!$A$71,"")))))))))))))</f>
        <v/>
      </c>
      <c r="G42" s="379"/>
      <c r="H42" s="366" t="str">
        <f>IF($D42='W1'!$A$59,'W1'!D$59,IF($D42='W1'!$A$60,'W1'!D$60,IF($D42='W1'!$A$61,'W1'!D$61,IF($D42='W1'!$A$62,'W1'!D$62,IF($D42='W1'!$A$63,'W1'!D$63,IF($D42='W1'!$A$64,'W1'!D$64,IF($D42='W1'!$A$65,'W1'!D$65,IF($D42='W1'!$A$66,'W1'!D$66,IF($D42='W1'!$A$67,'W1'!D$67,IF($D42='W1'!$A$68,'W1'!F281,IF($D42='W1'!$A$69,'W1'!F281,IF($D42='W1'!$A$70,'W1'!F281,IF($D42='W1'!$A$71,"")))))))))))))</f>
        <v/>
      </c>
      <c r="I42" s="367"/>
      <c r="J42" s="366" t="str">
        <f>IF($D42='W1'!$A$59,'W1'!E$59,IF($D42='W1'!$A$60,'W1'!E$60,IF($D42='W1'!$A$61,'W1'!E$61,IF($D42='W1'!$A$62,'W1'!E$62,IF($D42='W1'!$A$63,'W1'!E$63,IF($D42='W1'!$A$64,'W1'!E$64,IF($D42='W1'!$A$65,'W1'!E$65,IF($D42='W1'!$A$66,'W1'!E$66,IF($D42='W1'!$A$67,'W1'!E$67,IF($D42='W1'!$A$68,'W1'!H281,IF($D42='W1'!$A$69,'W1'!H281,IF($D42='W1'!$A$70,'W1'!H281,IF($D42='W1'!$A$71,"")))))))))))))</f>
        <v/>
      </c>
      <c r="K42" s="367"/>
      <c r="L42" s="366" t="str">
        <f>IF($D42='W1'!$A$59,'W1'!F$59,IF($D42='W1'!$A$60,'W1'!F$60,IF($D42='W1'!$A$61,'W1'!F$61,IF($D42='W1'!$A$62,'W1'!F$62,IF($D42='W1'!$A$63,'W1'!F$63,IF($D42='W1'!$A$64,'W1'!F$64,IF($D42='W1'!$A$65,'W1'!F$65,IF($D42='W1'!$A$66,'W1'!F$66,IF($D42='W1'!$A$67,'W1'!F$67,IF($D42='W1'!$A$68,'W1'!J281,IF($D42='W1'!$A$69,'W1'!J281,IF($D42='W1'!$A$70,'W1'!J281,IF($D42='W1'!$A$71,"")))))))))))))</f>
        <v/>
      </c>
      <c r="M42" s="367"/>
      <c r="N42" s="187">
        <f>IF(N14=0,0,IF(AND($D42="F-SMRA",N14=0),0,IF(AND($D42="F-SMRB",N14=0),0,IF(AND($D42="F-SMRC",N14=0),0,IF($D42='W1'!$A$68,'W1'!B307,IF($D42='W1'!$A$69,'W1'!B307,IF($D42='W1'!$A$70,'W1'!B307,ROUND(('Pilot Project Budget'!N14/'W1'!$C$5*'W1'!$C$9*(IF('Pilot Project Budget'!$D42='W1'!$A$47,'W1'!B$47,IF('Pilot Project Budget'!$D42='W1'!$A$48,'W1'!B$48,IF('Pilot Project Budget'!$D42='W1'!$A$49,'W1'!B$49,IF('Pilot Project Budget'!$D42='W1'!$A$50,'W1'!B$50,IF('Pilot Project Budget'!$D42='W1'!$A$51,'W1'!B$51,IF('Pilot Project Budget'!$D42='W1'!$A$52,'W1'!B$52,IF('Pilot Project Budget'!$D42='W1'!$A$53,'W1'!B$53,IF('Pilot Project Budget'!$D42='W1'!$A$54,'W1'!B$54,IF('Pilot Project Budget'!$D42='W1'!$A$55,'W1'!B$55))))))))))),0)+ROUND(N14/'W1'!$C$5*'W1'!$C$10*(IF('Pilot Project Budget'!$D42='W1'!$A$47,'W1'!C$47,IF('Pilot Project Budget'!$D42='W1'!$A$48,'W1'!C$48,IF('Pilot Project Budget'!$D42='W1'!$A$49,'W1'!C$49,IF('Pilot Project Budget'!$D42='W1'!$A$50,'W1'!C$50,IF('Pilot Project Budget'!$D42='W1'!$A$51,'W1'!C$51,IF('Pilot Project Budget'!$D42='W1'!$A$52,'W1'!C$52,IF('Pilot Project Budget'!$D42='W1'!$A$53,'W1'!C$53,IF('Pilot Project Budget'!$D42='W1'!$A$54,'W1'!C$54,IF('Pilot Project Budget'!$D42='W1'!$A$55,'W1'!C$55)))))))))),0))))))))</f>
        <v>0</v>
      </c>
      <c r="O42" s="187">
        <f>IF(O14=0,0,IF(AND($D42="F-SMRA",O14=0),0,IF(AND($D42="F-SMRB",O14=0),0,IF(AND($D42="F-SMRC",O14=0),0,IF($D42='W1'!$A$68,'W1'!D307,IF($D42='W1'!$A$69,'W1'!D307,IF($D42='W1'!$A$70,'W1'!D307,ROUND(('Pilot Project Budget'!O14/'W1'!$D$5*'W1'!$D$9*(IF('Pilot Project Budget'!$D42='W1'!$A$47,'W1'!D$47,IF('Pilot Project Budget'!$D42='W1'!$A$48,'W1'!D$48,IF('Pilot Project Budget'!$D42='W1'!$A$49,'W1'!D$49,IF('Pilot Project Budget'!$D42='W1'!$A$50,'W1'!D$50,IF('Pilot Project Budget'!$D42='W1'!$A$51,'W1'!D$51,IF('Pilot Project Budget'!$D42='W1'!$A$52,'W1'!D$52,IF('Pilot Project Budget'!$D42='W1'!$A$53,'W1'!D$53,IF('Pilot Project Budget'!$D42='W1'!$A$54,'W1'!D$54,IF('Pilot Project Budget'!$D42='W1'!$A$55,'W1'!D$55))))))))))),0)+ROUND(O14/'W1'!$D$5*'W1'!$D$10*(IF('Pilot Project Budget'!$D42='W1'!$A$47,'W1'!E$47,IF('Pilot Project Budget'!$D42='W1'!$A$48,'W1'!E$48,IF('Pilot Project Budget'!$D42='W1'!$A$49,'W1'!E$49,IF('Pilot Project Budget'!$D42='W1'!$A$50,'W1'!E$50,IF('Pilot Project Budget'!$D42='W1'!$A$51,'W1'!E$51,IF('Pilot Project Budget'!$D42='W1'!$A$52,'W1'!E$52,IF('Pilot Project Budget'!$D42='W1'!$A$53,'W1'!E$53,IF('Pilot Project Budget'!$D42='W1'!$A$54,'W1'!E$54,IF('Pilot Project Budget'!$D42='W1'!$A$55,'W1'!E$55)))))))))),0))))))))</f>
        <v>0</v>
      </c>
      <c r="P42" s="187">
        <f>IF(P14=0,0,IF(AND($D42="F-SMRA",P14=0),0,IF(AND($D42="F-SMRB",P14=0),0,IF(AND($D42="F-SMRC",P14=0),0,IF($D42='W1'!$A$68,'W1'!F307,IF($D42='W1'!$A$69,'W1'!F307,IF($D42='W1'!$A$70,'W1'!F307,ROUND(('Pilot Project Budget'!P14/'W1'!$E$5*'W1'!$E$9*(IF('Pilot Project Budget'!$D42='W1'!$A$47,'W1'!F$47,IF('Pilot Project Budget'!$D42='W1'!$A$48,'W1'!F$48,IF('Pilot Project Budget'!$D42='W1'!$A$49,'W1'!F$49,IF('Pilot Project Budget'!$D42='W1'!$A$50,'W1'!F$50,IF('Pilot Project Budget'!$D42='W1'!$A$51,'W1'!F$51,IF('Pilot Project Budget'!$D42='W1'!$A$52,'W1'!F$52,IF('Pilot Project Budget'!$D42='W1'!$A$53,'W1'!F$53,IF('Pilot Project Budget'!$D42='W1'!$A$54,'W1'!F$54,IF('Pilot Project Budget'!$D42='W1'!$A$55,'W1'!F$55))))))))))),0)+ROUND(P14/'W1'!$E$5*'W1'!$E$10*(IF('Pilot Project Budget'!$D42='W1'!$A$47,'W1'!G$47,IF('Pilot Project Budget'!$D42='W1'!$A$48,'W1'!G$48,IF('Pilot Project Budget'!$D42='W1'!$A$49,'W1'!G$49,IF('Pilot Project Budget'!$D42='W1'!$A$50,'W1'!G$50,IF('Pilot Project Budget'!$D42='W1'!$A$51,'W1'!G$51,IF('Pilot Project Budget'!$D42='W1'!$A$52,'W1'!G$52,IF('Pilot Project Budget'!$D42='W1'!$A$53,'W1'!G$53,IF('Pilot Project Budget'!$D42='W1'!$A$54,'W1'!G$54,IF('Pilot Project Budget'!$D42='W1'!$A$55,'W1'!G$55)))))))))),0))))))))</f>
        <v>0</v>
      </c>
      <c r="Q42" s="187">
        <f>IF(Q14=0,0,IF(AND($D42="F-SMRA",Q14=0),0,IF(AND($D42="F-SMRB",Q14=0),0,IF(AND($D42="F-SMRC",Q14=0),0,IF($D42='W1'!$A$68,'W1'!H307,IF($D42='W1'!$A$69,'W1'!H307,IF($D42='W1'!$A$70,'W1'!H307,ROUND(('Pilot Project Budget'!Q14/'W1'!$F$5*'W1'!$F$9*(IF('Pilot Project Budget'!$D42='W1'!$A$47,'W1'!H$47,IF('Pilot Project Budget'!$D42='W1'!$A$48,'W1'!H$48,IF('Pilot Project Budget'!$D42='W1'!$A$49,'W1'!H$49,IF('Pilot Project Budget'!$D42='W1'!$A$50,'W1'!H$50,IF('Pilot Project Budget'!$D42='W1'!$A$51,'W1'!H$51,IF('Pilot Project Budget'!$D42='W1'!$A$52,'W1'!H$52,IF('Pilot Project Budget'!$D42='W1'!$A$53,'W1'!H$53,IF('Pilot Project Budget'!$D42='W1'!$A$54,'W1'!H$54,IF('Pilot Project Budget'!$D42='W1'!$A$55,'W1'!H$55))))))))))),0)+ROUND(Q14/'W1'!$F$5*'W1'!$F$10*(IF('Pilot Project Budget'!$D42='W1'!$A$47,'W1'!I$47,IF('Pilot Project Budget'!$D42='W1'!$A$48,'W1'!I$48,IF('Pilot Project Budget'!$D42='W1'!$A$49,'W1'!I$49,IF('Pilot Project Budget'!$D42='W1'!$A$50,'W1'!I$50,IF('Pilot Project Budget'!$D42='W1'!$A$51,'W1'!I$51,IF('Pilot Project Budget'!$D42='W1'!$A$52,'W1'!I$52,IF('Pilot Project Budget'!$D42='W1'!$A$53,'W1'!I$53,IF('Pilot Project Budget'!$D42='W1'!$A$54,'W1'!I$54,IF('Pilot Project Budget'!$D42='W1'!$A$55,'W1'!I$55)))))))))),0))))))))</f>
        <v>0</v>
      </c>
      <c r="R42" s="187">
        <f>IF(R14=0,0,IF(AND($D42="F-SMRA",R14=0),0,IF(AND($D42="F-SMRB",R14=0),0,IF(AND($D42="F-SMRC",R14=0),0,IF($D42='W1'!$A$68,'W1'!J307,IF($D42='W1'!$A$69,'W1'!J307,IF($D42='W1'!$A$70,'W1'!J307,ROUND(('Pilot Project Budget'!R14/'W1'!$G$5*'W1'!$G$9*(IF('Pilot Project Budget'!$D42='W1'!$A$47,'W1'!J$47,IF('Pilot Project Budget'!$D42='W1'!$A$48,'W1'!J$48,IF('Pilot Project Budget'!$D42='W1'!$A$49,'W1'!J$49,IF('Pilot Project Budget'!$D42='W1'!$A$50,'W1'!J$50,IF('Pilot Project Budget'!$D42='W1'!$A$51,'W1'!J$51,IF('Pilot Project Budget'!$D42='W1'!$A$52,'W1'!J$52,IF('Pilot Project Budget'!$D42='W1'!$A$53,'W1'!J$53,IF('Pilot Project Budget'!$D42='W1'!$A$54,'W1'!J$54,IF('Pilot Project Budget'!$D42='W1'!$A$55,'W1'!J$55))))))))))),0)+ROUND(R14/'W1'!$G$5*'W1'!$G$10*(IF('Pilot Project Budget'!$D42='W1'!$A$47,'W1'!K$47,IF('Pilot Project Budget'!$D42='W1'!$A$48,'W1'!K$48,IF('Pilot Project Budget'!$D42='W1'!$A$49,'W1'!K$49,IF('Pilot Project Budget'!$D42='W1'!$A$50,'W1'!K$50,IF('Pilot Project Budget'!$D42='W1'!$A$51,'W1'!K$51,IF('Pilot Project Budget'!$D42='W1'!$A$52,'W1'!K$52,IF('Pilot Project Budget'!$D42='W1'!$A$53,'W1'!K$53,IF('Pilot Project Budget'!$D42='W1'!$A$54,'W1'!K$54,IF('Pilot Project Budget'!$D42='W1'!$A$55,'W1'!K$55)))))))))),0))))))))</f>
        <v>0</v>
      </c>
      <c r="S42" s="187">
        <f t="shared" si="3"/>
        <v>0</v>
      </c>
      <c r="T42" s="248"/>
      <c r="U42" s="248"/>
      <c r="V42" s="248"/>
      <c r="W42" s="248"/>
      <c r="X42" s="248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hidden="1" x14ac:dyDescent="0.2">
      <c r="A43" s="92">
        <v>8</v>
      </c>
      <c r="B43" s="381">
        <f t="shared" si="2"/>
        <v>0</v>
      </c>
      <c r="C43" s="382"/>
      <c r="D43" s="199" t="s">
        <v>52</v>
      </c>
      <c r="E43" s="226" t="str">
        <f>IF($D43='W1'!$A$59,'W1'!B$59,IF($D43='W1'!$A$60,'W1'!B$60,IF($D43='W1'!$A$61,'W1'!B$61,IF($D43='W1'!$A$62,'W1'!B$62,IF($D43='W1'!$A$63,'W1'!B$63,IF($D43='W1'!$A$64,'W1'!B$64,IF($D43='W1'!$A$65,'W1'!B$65,IF($D43='W1'!$A$66,'W1'!B$66,IF($D43='W1'!$A$67,'W1'!B$67,IF($D43='W1'!$A$68,'W1'!B282,IF($D43='W1'!$A$69,'W1'!B282,IF($D43='W1'!$A$70,'W1'!B282,IF($D43='W1'!$A$71,"")))))))))))))</f>
        <v/>
      </c>
      <c r="F43" s="378" t="str">
        <f>IF($D43='W1'!$A$59,'W1'!C$59,IF($D43='W1'!$A$60,'W1'!C$60,IF($D43='W1'!$A$61,'W1'!C$61,IF($D43='W1'!$A$62,'W1'!C$62,IF($D43='W1'!$A$63,'W1'!C$63,IF($D43='W1'!$A$64,'W1'!C$64,IF($D43='W1'!$A$65,'W1'!C$65,IF($D43='W1'!$A$66,'W1'!C$66,IF($D43='W1'!$A$67,'W1'!C$67,IF($D43='W1'!$A$68,'W1'!D282,IF($D43='W1'!$A$69,'W1'!D282,IF($D43='W1'!$A$70,'W1'!D282,IF($D43='W1'!$A$71,"")))))))))))))</f>
        <v/>
      </c>
      <c r="G43" s="379"/>
      <c r="H43" s="366" t="str">
        <f>IF($D43='W1'!$A$59,'W1'!D$59,IF($D43='W1'!$A$60,'W1'!D$60,IF($D43='W1'!$A$61,'W1'!D$61,IF($D43='W1'!$A$62,'W1'!D$62,IF($D43='W1'!$A$63,'W1'!D$63,IF($D43='W1'!$A$64,'W1'!D$64,IF($D43='W1'!$A$65,'W1'!D$65,IF($D43='W1'!$A$66,'W1'!D$66,IF($D43='W1'!$A$67,'W1'!D$67,IF($D43='W1'!$A$68,'W1'!F282,IF($D43='W1'!$A$69,'W1'!F282,IF($D43='W1'!$A$70,'W1'!F282,IF($D43='W1'!$A$71,"")))))))))))))</f>
        <v/>
      </c>
      <c r="I43" s="367"/>
      <c r="J43" s="366" t="str">
        <f>IF($D43='W1'!$A$59,'W1'!E$59,IF($D43='W1'!$A$60,'W1'!E$60,IF($D43='W1'!$A$61,'W1'!E$61,IF($D43='W1'!$A$62,'W1'!E$62,IF($D43='W1'!$A$63,'W1'!E$63,IF($D43='W1'!$A$64,'W1'!E$64,IF($D43='W1'!$A$65,'W1'!E$65,IF($D43='W1'!$A$66,'W1'!E$66,IF($D43='W1'!$A$67,'W1'!E$67,IF($D43='W1'!$A$68,'W1'!H282,IF($D43='W1'!$A$69,'W1'!H282,IF($D43='W1'!$A$70,'W1'!H282,IF($D43='W1'!$A$71,"")))))))))))))</f>
        <v/>
      </c>
      <c r="K43" s="367"/>
      <c r="L43" s="366" t="str">
        <f>IF($D43='W1'!$A$59,'W1'!F$59,IF($D43='W1'!$A$60,'W1'!F$60,IF($D43='W1'!$A$61,'W1'!F$61,IF($D43='W1'!$A$62,'W1'!F$62,IF($D43='W1'!$A$63,'W1'!F$63,IF($D43='W1'!$A$64,'W1'!F$64,IF($D43='W1'!$A$65,'W1'!F$65,IF($D43='W1'!$A$66,'W1'!F$66,IF($D43='W1'!$A$67,'W1'!F$67,IF($D43='W1'!$A$68,'W1'!J282,IF($D43='W1'!$A$69,'W1'!J282,IF($D43='W1'!$A$70,'W1'!J282,IF($D43='W1'!$A$71,"")))))))))))))</f>
        <v/>
      </c>
      <c r="M43" s="367"/>
      <c r="N43" s="187">
        <f>IF(N15=0,0,IF(AND($D43="F-SMRA",N15=0),0,IF(AND($D43="F-SMRB",N15=0),0,IF(AND($D43="F-SMRC",N15=0),0,IF($D43='W1'!$A$68,'W1'!B308,IF($D43='W1'!$A$69,'W1'!B308,IF($D43='W1'!$A$70,'W1'!B308,ROUND(('Pilot Project Budget'!N15/'W1'!$C$5*'W1'!$C$9*(IF('Pilot Project Budget'!$D43='W1'!$A$47,'W1'!B$47,IF('Pilot Project Budget'!$D43='W1'!$A$48,'W1'!B$48,IF('Pilot Project Budget'!$D43='W1'!$A$49,'W1'!B$49,IF('Pilot Project Budget'!$D43='W1'!$A$50,'W1'!B$50,IF('Pilot Project Budget'!$D43='W1'!$A$51,'W1'!B$51,IF('Pilot Project Budget'!$D43='W1'!$A$52,'W1'!B$52,IF('Pilot Project Budget'!$D43='W1'!$A$53,'W1'!B$53,IF('Pilot Project Budget'!$D43='W1'!$A$54,'W1'!B$54,IF('Pilot Project Budget'!$D43='W1'!$A$55,'W1'!B$55))))))))))),0)+ROUND(N15/'W1'!$C$5*'W1'!$C$10*(IF('Pilot Project Budget'!$D43='W1'!$A$47,'W1'!C$47,IF('Pilot Project Budget'!$D43='W1'!$A$48,'W1'!C$48,IF('Pilot Project Budget'!$D43='W1'!$A$49,'W1'!C$49,IF('Pilot Project Budget'!$D43='W1'!$A$50,'W1'!C$50,IF('Pilot Project Budget'!$D43='W1'!$A$51,'W1'!C$51,IF('Pilot Project Budget'!$D43='W1'!$A$52,'W1'!C$52,IF('Pilot Project Budget'!$D43='W1'!$A$53,'W1'!C$53,IF('Pilot Project Budget'!$D43='W1'!$A$54,'W1'!C$54,IF('Pilot Project Budget'!$D43='W1'!$A$55,'W1'!C$55)))))))))),0))))))))</f>
        <v>0</v>
      </c>
      <c r="O43" s="187">
        <f>IF(O15=0,0,IF(AND($D43="F-SMRA",O15=0),0,IF(AND($D43="F-SMRB",O15=0),0,IF(AND($D43="F-SMRC",O15=0),0,IF($D43='W1'!$A$68,'W1'!D308,IF($D43='W1'!$A$69,'W1'!D308,IF($D43='W1'!$A$70,'W1'!D308,ROUND(('Pilot Project Budget'!O15/'W1'!$D$5*'W1'!$D$9*(IF('Pilot Project Budget'!$D43='W1'!$A$47,'W1'!D$47,IF('Pilot Project Budget'!$D43='W1'!$A$48,'W1'!D$48,IF('Pilot Project Budget'!$D43='W1'!$A$49,'W1'!D$49,IF('Pilot Project Budget'!$D43='W1'!$A$50,'W1'!D$50,IF('Pilot Project Budget'!$D43='W1'!$A$51,'W1'!D$51,IF('Pilot Project Budget'!$D43='W1'!$A$52,'W1'!D$52,IF('Pilot Project Budget'!$D43='W1'!$A$53,'W1'!D$53,IF('Pilot Project Budget'!$D43='W1'!$A$54,'W1'!D$54,IF('Pilot Project Budget'!$D43='W1'!$A$55,'W1'!D$55))))))))))),0)+ROUND(O15/'W1'!$D$5*'W1'!$D$10*(IF('Pilot Project Budget'!$D43='W1'!$A$47,'W1'!E$47,IF('Pilot Project Budget'!$D43='W1'!$A$48,'W1'!E$48,IF('Pilot Project Budget'!$D43='W1'!$A$49,'W1'!E$49,IF('Pilot Project Budget'!$D43='W1'!$A$50,'W1'!E$50,IF('Pilot Project Budget'!$D43='W1'!$A$51,'W1'!E$51,IF('Pilot Project Budget'!$D43='W1'!$A$52,'W1'!E$52,IF('Pilot Project Budget'!$D43='W1'!$A$53,'W1'!E$53,IF('Pilot Project Budget'!$D43='W1'!$A$54,'W1'!E$54,IF('Pilot Project Budget'!$D43='W1'!$A$55,'W1'!E$55)))))))))),0))))))))</f>
        <v>0</v>
      </c>
      <c r="P43" s="187">
        <f>IF(P15=0,0,IF(AND($D43="F-SMRA",P15=0),0,IF(AND($D43="F-SMRB",P15=0),0,IF(AND($D43="F-SMRC",P15=0),0,IF($D43='W1'!$A$68,'W1'!F308,IF($D43='W1'!$A$69,'W1'!F308,IF($D43='W1'!$A$70,'W1'!F308,ROUND(('Pilot Project Budget'!P15/'W1'!$E$5*'W1'!$E$9*(IF('Pilot Project Budget'!$D43='W1'!$A$47,'W1'!F$47,IF('Pilot Project Budget'!$D43='W1'!$A$48,'W1'!F$48,IF('Pilot Project Budget'!$D43='W1'!$A$49,'W1'!F$49,IF('Pilot Project Budget'!$D43='W1'!$A$50,'W1'!F$50,IF('Pilot Project Budget'!$D43='W1'!$A$51,'W1'!F$51,IF('Pilot Project Budget'!$D43='W1'!$A$52,'W1'!F$52,IF('Pilot Project Budget'!$D43='W1'!$A$53,'W1'!F$53,IF('Pilot Project Budget'!$D43='W1'!$A$54,'W1'!F$54,IF('Pilot Project Budget'!$D43='W1'!$A$55,'W1'!F$55))))))))))),0)+ROUND(P15/'W1'!$E$5*'W1'!$E$10*(IF('Pilot Project Budget'!$D43='W1'!$A$47,'W1'!G$47,IF('Pilot Project Budget'!$D43='W1'!$A$48,'W1'!G$48,IF('Pilot Project Budget'!$D43='W1'!$A$49,'W1'!G$49,IF('Pilot Project Budget'!$D43='W1'!$A$50,'W1'!G$50,IF('Pilot Project Budget'!$D43='W1'!$A$51,'W1'!G$51,IF('Pilot Project Budget'!$D43='W1'!$A$52,'W1'!G$52,IF('Pilot Project Budget'!$D43='W1'!$A$53,'W1'!G$53,IF('Pilot Project Budget'!$D43='W1'!$A$54,'W1'!G$54,IF('Pilot Project Budget'!$D43='W1'!$A$55,'W1'!G$55)))))))))),0))))))))</f>
        <v>0</v>
      </c>
      <c r="Q43" s="187">
        <f>IF(Q15=0,0,IF(AND($D43="F-SMRA",Q15=0),0,IF(AND($D43="F-SMRB",Q15=0),0,IF(AND($D43="F-SMRC",Q15=0),0,IF($D43='W1'!$A$68,'W1'!H308,IF($D43='W1'!$A$69,'W1'!H308,IF($D43='W1'!$A$70,'W1'!H308,ROUND(('Pilot Project Budget'!Q15/'W1'!$F$5*'W1'!$F$9*(IF('Pilot Project Budget'!$D43='W1'!$A$47,'W1'!H$47,IF('Pilot Project Budget'!$D43='W1'!$A$48,'W1'!H$48,IF('Pilot Project Budget'!$D43='W1'!$A$49,'W1'!H$49,IF('Pilot Project Budget'!$D43='W1'!$A$50,'W1'!H$50,IF('Pilot Project Budget'!$D43='W1'!$A$51,'W1'!H$51,IF('Pilot Project Budget'!$D43='W1'!$A$52,'W1'!H$52,IF('Pilot Project Budget'!$D43='W1'!$A$53,'W1'!H$53,IF('Pilot Project Budget'!$D43='W1'!$A$54,'W1'!H$54,IF('Pilot Project Budget'!$D43='W1'!$A$55,'W1'!H$55))))))))))),0)+ROUND(Q15/'W1'!$F$5*'W1'!$F$10*(IF('Pilot Project Budget'!$D43='W1'!$A$47,'W1'!I$47,IF('Pilot Project Budget'!$D43='W1'!$A$48,'W1'!I$48,IF('Pilot Project Budget'!$D43='W1'!$A$49,'W1'!I$49,IF('Pilot Project Budget'!$D43='W1'!$A$50,'W1'!I$50,IF('Pilot Project Budget'!$D43='W1'!$A$51,'W1'!I$51,IF('Pilot Project Budget'!$D43='W1'!$A$52,'W1'!I$52,IF('Pilot Project Budget'!$D43='W1'!$A$53,'W1'!I$53,IF('Pilot Project Budget'!$D43='W1'!$A$54,'W1'!I$54,IF('Pilot Project Budget'!$D43='W1'!$A$55,'W1'!I$55)))))))))),0))))))))</f>
        <v>0</v>
      </c>
      <c r="R43" s="187">
        <f>IF(R15=0,0,IF(AND($D43="F-SMRA",R15=0),0,IF(AND($D43="F-SMRB",R15=0),0,IF(AND($D43="F-SMRC",R15=0),0,IF($D43='W1'!$A$68,'W1'!J308,IF($D43='W1'!$A$69,'W1'!J308,IF($D43='W1'!$A$70,'W1'!J308,ROUND(('Pilot Project Budget'!R15/'W1'!$G$5*'W1'!$G$9*(IF('Pilot Project Budget'!$D43='W1'!$A$47,'W1'!J$47,IF('Pilot Project Budget'!$D43='W1'!$A$48,'W1'!J$48,IF('Pilot Project Budget'!$D43='W1'!$A$49,'W1'!J$49,IF('Pilot Project Budget'!$D43='W1'!$A$50,'W1'!J$50,IF('Pilot Project Budget'!$D43='W1'!$A$51,'W1'!J$51,IF('Pilot Project Budget'!$D43='W1'!$A$52,'W1'!J$52,IF('Pilot Project Budget'!$D43='W1'!$A$53,'W1'!J$53,IF('Pilot Project Budget'!$D43='W1'!$A$54,'W1'!J$54,IF('Pilot Project Budget'!$D43='W1'!$A$55,'W1'!J$55))))))))))),0)+ROUND(R15/'W1'!$G$5*'W1'!$G$10*(IF('Pilot Project Budget'!$D43='W1'!$A$47,'W1'!K$47,IF('Pilot Project Budget'!$D43='W1'!$A$48,'W1'!K$48,IF('Pilot Project Budget'!$D43='W1'!$A$49,'W1'!K$49,IF('Pilot Project Budget'!$D43='W1'!$A$50,'W1'!K$50,IF('Pilot Project Budget'!$D43='W1'!$A$51,'W1'!K$51,IF('Pilot Project Budget'!$D43='W1'!$A$52,'W1'!K$52,IF('Pilot Project Budget'!$D43='W1'!$A$53,'W1'!K$53,IF('Pilot Project Budget'!$D43='W1'!$A$54,'W1'!K$54,IF('Pilot Project Budget'!$D43='W1'!$A$55,'W1'!K$55)))))))))),0))))))))</f>
        <v>0</v>
      </c>
      <c r="S43" s="187">
        <f t="shared" si="3"/>
        <v>0</v>
      </c>
      <c r="T43" s="248"/>
      <c r="U43" s="248"/>
      <c r="V43" s="248"/>
      <c r="W43" s="248"/>
      <c r="X43" s="248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hidden="1" x14ac:dyDescent="0.2">
      <c r="A44" s="92">
        <v>9</v>
      </c>
      <c r="B44" s="381">
        <f t="shared" si="2"/>
        <v>0</v>
      </c>
      <c r="C44" s="382"/>
      <c r="D44" s="199" t="s">
        <v>52</v>
      </c>
      <c r="E44" s="226" t="str">
        <f>IF($D44='W1'!$A$59,'W1'!B$59,IF($D44='W1'!$A$60,'W1'!B$60,IF($D44='W1'!$A$61,'W1'!B$61,IF($D44='W1'!$A$62,'W1'!B$62,IF($D44='W1'!$A$63,'W1'!B$63,IF($D44='W1'!$A$64,'W1'!B$64,IF($D44='W1'!$A$65,'W1'!B$65,IF($D44='W1'!$A$66,'W1'!B$66,IF($D44='W1'!$A$67,'W1'!B$67,IF($D44='W1'!$A$68,'W1'!B283,IF($D44='W1'!$A$69,'W1'!B283,IF($D44='W1'!$A$70,'W1'!B283,IF($D44='W1'!$A$71,"")))))))))))))</f>
        <v/>
      </c>
      <c r="F44" s="378" t="str">
        <f>IF($D44='W1'!$A$59,'W1'!C$59,IF($D44='W1'!$A$60,'W1'!C$60,IF($D44='W1'!$A$61,'W1'!C$61,IF($D44='W1'!$A$62,'W1'!C$62,IF($D44='W1'!$A$63,'W1'!C$63,IF($D44='W1'!$A$64,'W1'!C$64,IF($D44='W1'!$A$65,'W1'!C$65,IF($D44='W1'!$A$66,'W1'!C$66,IF($D44='W1'!$A$67,'W1'!C$67,IF($D44='W1'!$A$68,'W1'!D283,IF($D44='W1'!$A$69,'W1'!D283,IF($D44='W1'!$A$70,'W1'!D283,IF($D44='W1'!$A$71,"")))))))))))))</f>
        <v/>
      </c>
      <c r="G44" s="379"/>
      <c r="H44" s="366" t="str">
        <f>IF($D44='W1'!$A$59,'W1'!D$59,IF($D44='W1'!$A$60,'W1'!D$60,IF($D44='W1'!$A$61,'W1'!D$61,IF($D44='W1'!$A$62,'W1'!D$62,IF($D44='W1'!$A$63,'W1'!D$63,IF($D44='W1'!$A$64,'W1'!D$64,IF($D44='W1'!$A$65,'W1'!D$65,IF($D44='W1'!$A$66,'W1'!D$66,IF($D44='W1'!$A$67,'W1'!D$67,IF($D44='W1'!$A$68,'W1'!F283,IF($D44='W1'!$A$69,'W1'!F283,IF($D44='W1'!$A$70,'W1'!F283,IF($D44='W1'!$A$71,"")))))))))))))</f>
        <v/>
      </c>
      <c r="I44" s="367"/>
      <c r="J44" s="366" t="str">
        <f>IF($D44='W1'!$A$59,'W1'!E$59,IF($D44='W1'!$A$60,'W1'!E$60,IF($D44='W1'!$A$61,'W1'!E$61,IF($D44='W1'!$A$62,'W1'!E$62,IF($D44='W1'!$A$63,'W1'!E$63,IF($D44='W1'!$A$64,'W1'!E$64,IF($D44='W1'!$A$65,'W1'!E$65,IF($D44='W1'!$A$66,'W1'!E$66,IF($D44='W1'!$A$67,'W1'!E$67,IF($D44='W1'!$A$68,'W1'!H283,IF($D44='W1'!$A$69,'W1'!H283,IF($D44='W1'!$A$70,'W1'!H283,IF($D44='W1'!$A$71,"")))))))))))))</f>
        <v/>
      </c>
      <c r="K44" s="367"/>
      <c r="L44" s="366" t="str">
        <f>IF($D44='W1'!$A$59,'W1'!F$59,IF($D44='W1'!$A$60,'W1'!F$60,IF($D44='W1'!$A$61,'W1'!F$61,IF($D44='W1'!$A$62,'W1'!F$62,IF($D44='W1'!$A$63,'W1'!F$63,IF($D44='W1'!$A$64,'W1'!F$64,IF($D44='W1'!$A$65,'W1'!F$65,IF($D44='W1'!$A$66,'W1'!F$66,IF($D44='W1'!$A$67,'W1'!F$67,IF($D44='W1'!$A$68,'W1'!J283,IF($D44='W1'!$A$69,'W1'!J283,IF($D44='W1'!$A$70,'W1'!J283,IF($D44='W1'!$A$71,"")))))))))))))</f>
        <v/>
      </c>
      <c r="M44" s="367"/>
      <c r="N44" s="187">
        <f>IF(N16=0,0,IF(AND($D44="F-SMRA",N16=0),0,IF(AND($D44="F-SMRB",N16=0),0,IF(AND($D44="F-SMRC",N16=0),0,IF($D44='W1'!$A$68,'W1'!B309,IF($D44='W1'!$A$69,'W1'!B309,IF($D44='W1'!$A$70,'W1'!B309,ROUND(('Pilot Project Budget'!N16/'W1'!$C$5*'W1'!$C$9*(IF('Pilot Project Budget'!$D44='W1'!$A$47,'W1'!B$47,IF('Pilot Project Budget'!$D44='W1'!$A$48,'W1'!B$48,IF('Pilot Project Budget'!$D44='W1'!$A$49,'W1'!B$49,IF('Pilot Project Budget'!$D44='W1'!$A$50,'W1'!B$50,IF('Pilot Project Budget'!$D44='W1'!$A$51,'W1'!B$51,IF('Pilot Project Budget'!$D44='W1'!$A$52,'W1'!B$52,IF('Pilot Project Budget'!$D44='W1'!$A$53,'W1'!B$53,IF('Pilot Project Budget'!$D44='W1'!$A$54,'W1'!B$54,IF('Pilot Project Budget'!$D44='W1'!$A$55,'W1'!B$55))))))))))),0)+ROUND(N16/'W1'!$C$5*'W1'!$C$10*(IF('Pilot Project Budget'!$D44='W1'!$A$47,'W1'!C$47,IF('Pilot Project Budget'!$D44='W1'!$A$48,'W1'!C$48,IF('Pilot Project Budget'!$D44='W1'!$A$49,'W1'!C$49,IF('Pilot Project Budget'!$D44='W1'!$A$50,'W1'!C$50,IF('Pilot Project Budget'!$D44='W1'!$A$51,'W1'!C$51,IF('Pilot Project Budget'!$D44='W1'!$A$52,'W1'!C$52,IF('Pilot Project Budget'!$D44='W1'!$A$53,'W1'!C$53,IF('Pilot Project Budget'!$D44='W1'!$A$54,'W1'!C$54,IF('Pilot Project Budget'!$D44='W1'!$A$55,'W1'!C$55)))))))))),0))))))))</f>
        <v>0</v>
      </c>
      <c r="O44" s="187">
        <f>IF(O16=0,0,IF(AND($D44="F-SMRA",O16=0),0,IF(AND($D44="F-SMRB",O16=0),0,IF(AND($D44="F-SMRC",O16=0),0,IF($D44='W1'!$A$68,'W1'!D309,IF($D44='W1'!$A$69,'W1'!D309,IF($D44='W1'!$A$70,'W1'!D309,ROUND(('Pilot Project Budget'!O16/'W1'!$D$5*'W1'!$D$9*(IF('Pilot Project Budget'!$D44='W1'!$A$47,'W1'!D$47,IF('Pilot Project Budget'!$D44='W1'!$A$48,'W1'!D$48,IF('Pilot Project Budget'!$D44='W1'!$A$49,'W1'!D$49,IF('Pilot Project Budget'!$D44='W1'!$A$50,'W1'!D$50,IF('Pilot Project Budget'!$D44='W1'!$A$51,'W1'!D$51,IF('Pilot Project Budget'!$D44='W1'!$A$52,'W1'!D$52,IF('Pilot Project Budget'!$D44='W1'!$A$53,'W1'!D$53,IF('Pilot Project Budget'!$D44='W1'!$A$54,'W1'!D$54,IF('Pilot Project Budget'!$D44='W1'!$A$55,'W1'!D$55))))))))))),0)+ROUND(O16/'W1'!$D$5*'W1'!$D$10*(IF('Pilot Project Budget'!$D44='W1'!$A$47,'W1'!E$47,IF('Pilot Project Budget'!$D44='W1'!$A$48,'W1'!E$48,IF('Pilot Project Budget'!$D44='W1'!$A$49,'W1'!E$49,IF('Pilot Project Budget'!$D44='W1'!$A$50,'W1'!E$50,IF('Pilot Project Budget'!$D44='W1'!$A$51,'W1'!E$51,IF('Pilot Project Budget'!$D44='W1'!$A$52,'W1'!E$52,IF('Pilot Project Budget'!$D44='W1'!$A$53,'W1'!E$53,IF('Pilot Project Budget'!$D44='W1'!$A$54,'W1'!E$54,IF('Pilot Project Budget'!$D44='W1'!$A$55,'W1'!E$55)))))))))),0))))))))</f>
        <v>0</v>
      </c>
      <c r="P44" s="187">
        <f>IF(P16=0,0,IF(AND($D44="F-SMRA",P16=0),0,IF(AND($D44="F-SMRB",P16=0),0,IF(AND($D44="F-SMRC",P16=0),0,IF($D44='W1'!$A$68,'W1'!F309,IF($D44='W1'!$A$69,'W1'!F309,IF($D44='W1'!$A$70,'W1'!F309,ROUND(('Pilot Project Budget'!P16/'W1'!$E$5*'W1'!$E$9*(IF('Pilot Project Budget'!$D44='W1'!$A$47,'W1'!F$47,IF('Pilot Project Budget'!$D44='W1'!$A$48,'W1'!F$48,IF('Pilot Project Budget'!$D44='W1'!$A$49,'W1'!F$49,IF('Pilot Project Budget'!$D44='W1'!$A$50,'W1'!F$50,IF('Pilot Project Budget'!$D44='W1'!$A$51,'W1'!F$51,IF('Pilot Project Budget'!$D44='W1'!$A$52,'W1'!F$52,IF('Pilot Project Budget'!$D44='W1'!$A$53,'W1'!F$53,IF('Pilot Project Budget'!$D44='W1'!$A$54,'W1'!F$54,IF('Pilot Project Budget'!$D44='W1'!$A$55,'W1'!F$55))))))))))),0)+ROUND(P16/'W1'!$E$5*'W1'!$E$10*(IF('Pilot Project Budget'!$D44='W1'!$A$47,'W1'!G$47,IF('Pilot Project Budget'!$D44='W1'!$A$48,'W1'!G$48,IF('Pilot Project Budget'!$D44='W1'!$A$49,'W1'!G$49,IF('Pilot Project Budget'!$D44='W1'!$A$50,'W1'!G$50,IF('Pilot Project Budget'!$D44='W1'!$A$51,'W1'!G$51,IF('Pilot Project Budget'!$D44='W1'!$A$52,'W1'!G$52,IF('Pilot Project Budget'!$D44='W1'!$A$53,'W1'!G$53,IF('Pilot Project Budget'!$D44='W1'!$A$54,'W1'!G$54,IF('Pilot Project Budget'!$D44='W1'!$A$55,'W1'!G$55)))))))))),0))))))))</f>
        <v>0</v>
      </c>
      <c r="Q44" s="187">
        <f>IF(Q16=0,0,IF(AND($D44="F-SMRA",Q16=0),0,IF(AND($D44="F-SMRB",Q16=0),0,IF(AND($D44="F-SMRC",Q16=0),0,IF($D44='W1'!$A$68,'W1'!H309,IF($D44='W1'!$A$69,'W1'!H309,IF($D44='W1'!$A$70,'W1'!H309,ROUND(('Pilot Project Budget'!Q16/'W1'!$F$5*'W1'!$F$9*(IF('Pilot Project Budget'!$D44='W1'!$A$47,'W1'!H$47,IF('Pilot Project Budget'!$D44='W1'!$A$48,'W1'!H$48,IF('Pilot Project Budget'!$D44='W1'!$A$49,'W1'!H$49,IF('Pilot Project Budget'!$D44='W1'!$A$50,'W1'!H$50,IF('Pilot Project Budget'!$D44='W1'!$A$51,'W1'!H$51,IF('Pilot Project Budget'!$D44='W1'!$A$52,'W1'!H$52,IF('Pilot Project Budget'!$D44='W1'!$A$53,'W1'!H$53,IF('Pilot Project Budget'!$D44='W1'!$A$54,'W1'!H$54,IF('Pilot Project Budget'!$D44='W1'!$A$55,'W1'!H$55))))))))))),0)+ROUND(Q16/'W1'!$F$5*'W1'!$F$10*(IF('Pilot Project Budget'!$D44='W1'!$A$47,'W1'!I$47,IF('Pilot Project Budget'!$D44='W1'!$A$48,'W1'!I$48,IF('Pilot Project Budget'!$D44='W1'!$A$49,'W1'!I$49,IF('Pilot Project Budget'!$D44='W1'!$A$50,'W1'!I$50,IF('Pilot Project Budget'!$D44='W1'!$A$51,'W1'!I$51,IF('Pilot Project Budget'!$D44='W1'!$A$52,'W1'!I$52,IF('Pilot Project Budget'!$D44='W1'!$A$53,'W1'!I$53,IF('Pilot Project Budget'!$D44='W1'!$A$54,'W1'!I$54,IF('Pilot Project Budget'!$D44='W1'!$A$55,'W1'!I$55)))))))))),0))))))))</f>
        <v>0</v>
      </c>
      <c r="R44" s="187">
        <f>IF(R16=0,0,IF(AND($D44="F-SMRA",R16=0),0,IF(AND($D44="F-SMRB",R16=0),0,IF(AND($D44="F-SMRC",R16=0),0,IF($D44='W1'!$A$68,'W1'!J309,IF($D44='W1'!$A$69,'W1'!J309,IF($D44='W1'!$A$70,'W1'!J309,ROUND(('Pilot Project Budget'!R16/'W1'!$G$5*'W1'!$G$9*(IF('Pilot Project Budget'!$D44='W1'!$A$47,'W1'!J$47,IF('Pilot Project Budget'!$D44='W1'!$A$48,'W1'!J$48,IF('Pilot Project Budget'!$D44='W1'!$A$49,'W1'!J$49,IF('Pilot Project Budget'!$D44='W1'!$A$50,'W1'!J$50,IF('Pilot Project Budget'!$D44='W1'!$A$51,'W1'!J$51,IF('Pilot Project Budget'!$D44='W1'!$A$52,'W1'!J$52,IF('Pilot Project Budget'!$D44='W1'!$A$53,'W1'!J$53,IF('Pilot Project Budget'!$D44='W1'!$A$54,'W1'!J$54,IF('Pilot Project Budget'!$D44='W1'!$A$55,'W1'!J$55))))))))))),0)+ROUND(R16/'W1'!$G$5*'W1'!$G$10*(IF('Pilot Project Budget'!$D44='W1'!$A$47,'W1'!K$47,IF('Pilot Project Budget'!$D44='W1'!$A$48,'W1'!K$48,IF('Pilot Project Budget'!$D44='W1'!$A$49,'W1'!K$49,IF('Pilot Project Budget'!$D44='W1'!$A$50,'W1'!K$50,IF('Pilot Project Budget'!$D44='W1'!$A$51,'W1'!K$51,IF('Pilot Project Budget'!$D44='W1'!$A$52,'W1'!K$52,IF('Pilot Project Budget'!$D44='W1'!$A$53,'W1'!K$53,IF('Pilot Project Budget'!$D44='W1'!$A$54,'W1'!K$54,IF('Pilot Project Budget'!$D44='W1'!$A$55,'W1'!K$55)))))))))),0))))))))</f>
        <v>0</v>
      </c>
      <c r="S44" s="187">
        <f t="shared" si="3"/>
        <v>0</v>
      </c>
      <c r="T44" s="248"/>
      <c r="U44" s="248"/>
      <c r="V44" s="248"/>
      <c r="W44" s="248"/>
      <c r="X44" s="248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hidden="1" x14ac:dyDescent="0.2">
      <c r="A45" s="92">
        <v>10</v>
      </c>
      <c r="B45" s="381">
        <f t="shared" si="2"/>
        <v>0</v>
      </c>
      <c r="C45" s="382"/>
      <c r="D45" s="199" t="s">
        <v>52</v>
      </c>
      <c r="E45" s="226" t="str">
        <f>IF($D45='W1'!$A$59,'W1'!B$59,IF($D45='W1'!$A$60,'W1'!B$60,IF($D45='W1'!$A$61,'W1'!B$61,IF($D45='W1'!$A$62,'W1'!B$62,IF($D45='W1'!$A$63,'W1'!B$63,IF($D45='W1'!$A$64,'W1'!B$64,IF($D45='W1'!$A$65,'W1'!B$65,IF($D45='W1'!$A$66,'W1'!B$66,IF($D45='W1'!$A$67,'W1'!B$67,IF($D45='W1'!$A$68,'W1'!B284,IF($D45='W1'!$A$69,'W1'!B284,IF($D45='W1'!$A$70,'W1'!B284,IF($D45='W1'!$A$71,"")))))))))))))</f>
        <v/>
      </c>
      <c r="F45" s="378" t="str">
        <f>IF($D45='W1'!$A$59,'W1'!C$59,IF($D45='W1'!$A$60,'W1'!C$60,IF($D45='W1'!$A$61,'W1'!C$61,IF($D45='W1'!$A$62,'W1'!C$62,IF($D45='W1'!$A$63,'W1'!C$63,IF($D45='W1'!$A$64,'W1'!C$64,IF($D45='W1'!$A$65,'W1'!C$65,IF($D45='W1'!$A$66,'W1'!C$66,IF($D45='W1'!$A$67,'W1'!C$67,IF($D45='W1'!$A$68,'W1'!D284,IF($D45='W1'!$A$69,'W1'!D284,IF($D45='W1'!$A$70,'W1'!D284,IF($D45='W1'!$A$71,"")))))))))))))</f>
        <v/>
      </c>
      <c r="G45" s="379"/>
      <c r="H45" s="366" t="str">
        <f>IF($D45='W1'!$A$59,'W1'!D$59,IF($D45='W1'!$A$60,'W1'!D$60,IF($D45='W1'!$A$61,'W1'!D$61,IF($D45='W1'!$A$62,'W1'!D$62,IF($D45='W1'!$A$63,'W1'!D$63,IF($D45='W1'!$A$64,'W1'!D$64,IF($D45='W1'!$A$65,'W1'!D$65,IF($D45='W1'!$A$66,'W1'!D$66,IF($D45='W1'!$A$67,'W1'!D$67,IF($D45='W1'!$A$68,'W1'!F284,IF($D45='W1'!$A$69,'W1'!F284,IF($D45='W1'!$A$70,'W1'!F284,IF($D45='W1'!$A$71,"")))))))))))))</f>
        <v/>
      </c>
      <c r="I45" s="367"/>
      <c r="J45" s="366" t="str">
        <f>IF($D45='W1'!$A$59,'W1'!E$59,IF($D45='W1'!$A$60,'W1'!E$60,IF($D45='W1'!$A$61,'W1'!E$61,IF($D45='W1'!$A$62,'W1'!E$62,IF($D45='W1'!$A$63,'W1'!E$63,IF($D45='W1'!$A$64,'W1'!E$64,IF($D45='W1'!$A$65,'W1'!E$65,IF($D45='W1'!$A$66,'W1'!E$66,IF($D45='W1'!$A$67,'W1'!E$67,IF($D45='W1'!$A$68,'W1'!H284,IF($D45='W1'!$A$69,'W1'!H284,IF($D45='W1'!$A$70,'W1'!H284,IF($D45='W1'!$A$71,"")))))))))))))</f>
        <v/>
      </c>
      <c r="K45" s="367"/>
      <c r="L45" s="366" t="str">
        <f>IF($D45='W1'!$A$59,'W1'!F$59,IF($D45='W1'!$A$60,'W1'!F$60,IF($D45='W1'!$A$61,'W1'!F$61,IF($D45='W1'!$A$62,'W1'!F$62,IF($D45='W1'!$A$63,'W1'!F$63,IF($D45='W1'!$A$64,'W1'!F$64,IF($D45='W1'!$A$65,'W1'!F$65,IF($D45='W1'!$A$66,'W1'!F$66,IF($D45='W1'!$A$67,'W1'!F$67,IF($D45='W1'!$A$68,'W1'!J284,IF($D45='W1'!$A$69,'W1'!J284,IF($D45='W1'!$A$70,'W1'!J284,IF($D45='W1'!$A$71,"")))))))))))))</f>
        <v/>
      </c>
      <c r="M45" s="367"/>
      <c r="N45" s="187">
        <f>IF(N17=0,0,IF(AND($D45="F-SMRA",N17=0),0,IF(AND($D45="F-SMRB",N17=0),0,IF(AND($D45="F-SMRC",N17=0),0,IF($D45='W1'!$A$68,'W1'!B310,IF($D45='W1'!$A$69,'W1'!B310,IF($D45='W1'!$A$70,'W1'!B310,ROUND(('Pilot Project Budget'!N17/'W1'!$C$5*'W1'!$C$9*(IF('Pilot Project Budget'!$D45='W1'!$A$47,'W1'!B$47,IF('Pilot Project Budget'!$D45='W1'!$A$48,'W1'!B$48,IF('Pilot Project Budget'!$D45='W1'!$A$49,'W1'!B$49,IF('Pilot Project Budget'!$D45='W1'!$A$50,'W1'!B$50,IF('Pilot Project Budget'!$D45='W1'!$A$51,'W1'!B$51,IF('Pilot Project Budget'!$D45='W1'!$A$52,'W1'!B$52,IF('Pilot Project Budget'!$D45='W1'!$A$53,'W1'!B$53,IF('Pilot Project Budget'!$D45='W1'!$A$54,'W1'!B$54,IF('Pilot Project Budget'!$D45='W1'!$A$55,'W1'!B$55))))))))))),0)+ROUND(N17/'W1'!$C$5*'W1'!$C$10*(IF('Pilot Project Budget'!$D45='W1'!$A$47,'W1'!C$47,IF('Pilot Project Budget'!$D45='W1'!$A$48,'W1'!C$48,IF('Pilot Project Budget'!$D45='W1'!$A$49,'W1'!C$49,IF('Pilot Project Budget'!$D45='W1'!$A$50,'W1'!C$50,IF('Pilot Project Budget'!$D45='W1'!$A$51,'W1'!C$51,IF('Pilot Project Budget'!$D45='W1'!$A$52,'W1'!C$52,IF('Pilot Project Budget'!$D45='W1'!$A$53,'W1'!C$53,IF('Pilot Project Budget'!$D45='W1'!$A$54,'W1'!C$54,IF('Pilot Project Budget'!$D45='W1'!$A$55,'W1'!C$55)))))))))),0))))))))</f>
        <v>0</v>
      </c>
      <c r="O45" s="187">
        <f>IF(O17=0,0,IF(AND($D45="F-SMRA",O17=0),0,IF(AND($D45="F-SMRB",O17=0),0,IF(AND($D45="F-SMRC",O17=0),0,IF($D45='W1'!$A$68,'W1'!D310,IF($D45='W1'!$A$69,'W1'!D310,IF($D45='W1'!$A$70,'W1'!D310,ROUND(('Pilot Project Budget'!O17/'W1'!$D$5*'W1'!$D$9*(IF('Pilot Project Budget'!$D45='W1'!$A$47,'W1'!D$47,IF('Pilot Project Budget'!$D45='W1'!$A$48,'W1'!D$48,IF('Pilot Project Budget'!$D45='W1'!$A$49,'W1'!D$49,IF('Pilot Project Budget'!$D45='W1'!$A$50,'W1'!D$50,IF('Pilot Project Budget'!$D45='W1'!$A$51,'W1'!D$51,IF('Pilot Project Budget'!$D45='W1'!$A$52,'W1'!D$52,IF('Pilot Project Budget'!$D45='W1'!$A$53,'W1'!D$53,IF('Pilot Project Budget'!$D45='W1'!$A$54,'W1'!D$54,IF('Pilot Project Budget'!$D45='W1'!$A$55,'W1'!D$55))))))))))),0)+ROUND(O17/'W1'!$D$5*'W1'!$D$10*(IF('Pilot Project Budget'!$D45='W1'!$A$47,'W1'!E$47,IF('Pilot Project Budget'!$D45='W1'!$A$48,'W1'!E$48,IF('Pilot Project Budget'!$D45='W1'!$A$49,'W1'!E$49,IF('Pilot Project Budget'!$D45='W1'!$A$50,'W1'!E$50,IF('Pilot Project Budget'!$D45='W1'!$A$51,'W1'!E$51,IF('Pilot Project Budget'!$D45='W1'!$A$52,'W1'!E$52,IF('Pilot Project Budget'!$D45='W1'!$A$53,'W1'!E$53,IF('Pilot Project Budget'!$D45='W1'!$A$54,'W1'!E$54,IF('Pilot Project Budget'!$D45='W1'!$A$55,'W1'!E$55)))))))))),0))))))))</f>
        <v>0</v>
      </c>
      <c r="P45" s="187">
        <f>IF(P17=0,0,IF(AND($D45="F-SMRA",P17=0),0,IF(AND($D45="F-SMRB",P17=0),0,IF(AND($D45="F-SMRC",P17=0),0,IF($D45='W1'!$A$68,'W1'!F310,IF($D45='W1'!$A$69,'W1'!F310,IF($D45='W1'!$A$70,'W1'!F310,ROUND(('Pilot Project Budget'!P17/'W1'!$E$5*'W1'!$E$9*(IF('Pilot Project Budget'!$D45='W1'!$A$47,'W1'!F$47,IF('Pilot Project Budget'!$D45='W1'!$A$48,'W1'!F$48,IF('Pilot Project Budget'!$D45='W1'!$A$49,'W1'!F$49,IF('Pilot Project Budget'!$D45='W1'!$A$50,'W1'!F$50,IF('Pilot Project Budget'!$D45='W1'!$A$51,'W1'!F$51,IF('Pilot Project Budget'!$D45='W1'!$A$52,'W1'!F$52,IF('Pilot Project Budget'!$D45='W1'!$A$53,'W1'!F$53,IF('Pilot Project Budget'!$D45='W1'!$A$54,'W1'!F$54,IF('Pilot Project Budget'!$D45='W1'!$A$55,'W1'!F$55))))))))))),0)+ROUND(P17/'W1'!$E$5*'W1'!$E$10*(IF('Pilot Project Budget'!$D45='W1'!$A$47,'W1'!G$47,IF('Pilot Project Budget'!$D45='W1'!$A$48,'W1'!G$48,IF('Pilot Project Budget'!$D45='W1'!$A$49,'W1'!G$49,IF('Pilot Project Budget'!$D45='W1'!$A$50,'W1'!G$50,IF('Pilot Project Budget'!$D45='W1'!$A$51,'W1'!G$51,IF('Pilot Project Budget'!$D45='W1'!$A$52,'W1'!G$52,IF('Pilot Project Budget'!$D45='W1'!$A$53,'W1'!G$53,IF('Pilot Project Budget'!$D45='W1'!$A$54,'W1'!G$54,IF('Pilot Project Budget'!$D45='W1'!$A$55,'W1'!G$55)))))))))),0))))))))</f>
        <v>0</v>
      </c>
      <c r="Q45" s="187">
        <f>IF(Q17=0,0,IF(AND($D45="F-SMRA",Q17=0),0,IF(AND($D45="F-SMRB",Q17=0),0,IF(AND($D45="F-SMRC",Q17=0),0,IF($D45='W1'!$A$68,'W1'!H310,IF($D45='W1'!$A$69,'W1'!H310,IF($D45='W1'!$A$70,'W1'!H310,ROUND(('Pilot Project Budget'!Q17/'W1'!$F$5*'W1'!$F$9*(IF('Pilot Project Budget'!$D45='W1'!$A$47,'W1'!H$47,IF('Pilot Project Budget'!$D45='W1'!$A$48,'W1'!H$48,IF('Pilot Project Budget'!$D45='W1'!$A$49,'W1'!H$49,IF('Pilot Project Budget'!$D45='W1'!$A$50,'W1'!H$50,IF('Pilot Project Budget'!$D45='W1'!$A$51,'W1'!H$51,IF('Pilot Project Budget'!$D45='W1'!$A$52,'W1'!H$52,IF('Pilot Project Budget'!$D45='W1'!$A$53,'W1'!H$53,IF('Pilot Project Budget'!$D45='W1'!$A$54,'W1'!H$54,IF('Pilot Project Budget'!$D45='W1'!$A$55,'W1'!H$55))))))))))),0)+ROUND(Q17/'W1'!$F$5*'W1'!$F$10*(IF('Pilot Project Budget'!$D45='W1'!$A$47,'W1'!I$47,IF('Pilot Project Budget'!$D45='W1'!$A$48,'W1'!I$48,IF('Pilot Project Budget'!$D45='W1'!$A$49,'W1'!I$49,IF('Pilot Project Budget'!$D45='W1'!$A$50,'W1'!I$50,IF('Pilot Project Budget'!$D45='W1'!$A$51,'W1'!I$51,IF('Pilot Project Budget'!$D45='W1'!$A$52,'W1'!I$52,IF('Pilot Project Budget'!$D45='W1'!$A$53,'W1'!I$53,IF('Pilot Project Budget'!$D45='W1'!$A$54,'W1'!I$54,IF('Pilot Project Budget'!$D45='W1'!$A$55,'W1'!I$55)))))))))),0))))))))</f>
        <v>0</v>
      </c>
      <c r="R45" s="187">
        <f>IF(R17=0,0,IF(AND($D45="F-SMRA",R17=0),0,IF(AND($D45="F-SMRB",R17=0),0,IF(AND($D45="F-SMRC",R17=0),0,IF($D45='W1'!$A$68,'W1'!J310,IF($D45='W1'!$A$69,'W1'!J310,IF($D45='W1'!$A$70,'W1'!J310,ROUND(('Pilot Project Budget'!R17/'W1'!$G$5*'W1'!$G$9*(IF('Pilot Project Budget'!$D45='W1'!$A$47,'W1'!J$47,IF('Pilot Project Budget'!$D45='W1'!$A$48,'W1'!J$48,IF('Pilot Project Budget'!$D45='W1'!$A$49,'W1'!J$49,IF('Pilot Project Budget'!$D45='W1'!$A$50,'W1'!J$50,IF('Pilot Project Budget'!$D45='W1'!$A$51,'W1'!J$51,IF('Pilot Project Budget'!$D45='W1'!$A$52,'W1'!J$52,IF('Pilot Project Budget'!$D45='W1'!$A$53,'W1'!J$53,IF('Pilot Project Budget'!$D45='W1'!$A$54,'W1'!J$54,IF('Pilot Project Budget'!$D45='W1'!$A$55,'W1'!J$55))))))))))),0)+ROUND(R17/'W1'!$G$5*'W1'!$G$10*(IF('Pilot Project Budget'!$D45='W1'!$A$47,'W1'!K$47,IF('Pilot Project Budget'!$D45='W1'!$A$48,'W1'!K$48,IF('Pilot Project Budget'!$D45='W1'!$A$49,'W1'!K$49,IF('Pilot Project Budget'!$D45='W1'!$A$50,'W1'!K$50,IF('Pilot Project Budget'!$D45='W1'!$A$51,'W1'!K$51,IF('Pilot Project Budget'!$D45='W1'!$A$52,'W1'!K$52,IF('Pilot Project Budget'!$D45='W1'!$A$53,'W1'!K$53,IF('Pilot Project Budget'!$D45='W1'!$A$54,'W1'!K$54,IF('Pilot Project Budget'!$D45='W1'!$A$55,'W1'!K$55)))))))))),0))))))))</f>
        <v>0</v>
      </c>
      <c r="S45" s="187">
        <f t="shared" si="3"/>
        <v>0</v>
      </c>
      <c r="T45" s="248"/>
      <c r="U45" s="248"/>
      <c r="V45" s="248"/>
      <c r="W45" s="248"/>
      <c r="X45" s="248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hidden="1" x14ac:dyDescent="0.2">
      <c r="A46" s="92">
        <v>11</v>
      </c>
      <c r="B46" s="381">
        <f t="shared" si="2"/>
        <v>0</v>
      </c>
      <c r="C46" s="382"/>
      <c r="D46" s="199" t="s">
        <v>52</v>
      </c>
      <c r="E46" s="226" t="str">
        <f>IF($D46='W1'!$A$59,'W1'!B$59,IF($D46='W1'!$A$60,'W1'!B$60,IF($D46='W1'!$A$61,'W1'!B$61,IF($D46='W1'!$A$62,'W1'!B$62,IF($D46='W1'!$A$63,'W1'!B$63,IF($D46='W1'!$A$64,'W1'!B$64,IF($D46='W1'!$A$65,'W1'!B$65,IF($D46='W1'!$A$66,'W1'!B$66,IF($D46='W1'!$A$67,'W1'!B$67,IF($D46='W1'!$A$68,'W1'!B285,IF($D46='W1'!$A$69,'W1'!B285,IF($D46='W1'!$A$70,'W1'!B285,IF($D46='W1'!$A$71,"")))))))))))))</f>
        <v/>
      </c>
      <c r="F46" s="378" t="str">
        <f>IF($D46='W1'!$A$59,'W1'!C$59,IF($D46='W1'!$A$60,'W1'!C$60,IF($D46='W1'!$A$61,'W1'!C$61,IF($D46='W1'!$A$62,'W1'!C$62,IF($D46='W1'!$A$63,'W1'!C$63,IF($D46='W1'!$A$64,'W1'!C$64,IF($D46='W1'!$A$65,'W1'!C$65,IF($D46='W1'!$A$66,'W1'!C$66,IF($D46='W1'!$A$67,'W1'!C$67,IF($D46='W1'!$A$68,'W1'!D285,IF($D46='W1'!$A$69,'W1'!D285,IF($D46='W1'!$A$70,'W1'!D285,IF($D46='W1'!$A$71,"")))))))))))))</f>
        <v/>
      </c>
      <c r="G46" s="379"/>
      <c r="H46" s="366" t="str">
        <f>IF($D46='W1'!$A$59,'W1'!D$59,IF($D46='W1'!$A$60,'W1'!D$60,IF($D46='W1'!$A$61,'W1'!D$61,IF($D46='W1'!$A$62,'W1'!D$62,IF($D46='W1'!$A$63,'W1'!D$63,IF($D46='W1'!$A$64,'W1'!D$64,IF($D46='W1'!$A$65,'W1'!D$65,IF($D46='W1'!$A$66,'W1'!D$66,IF($D46='W1'!$A$67,'W1'!D$67,IF($D46='W1'!$A$68,'W1'!F285,IF($D46='W1'!$A$69,'W1'!F285,IF($D46='W1'!$A$70,'W1'!F285,IF($D46='W1'!$A$71,"")))))))))))))</f>
        <v/>
      </c>
      <c r="I46" s="367"/>
      <c r="J46" s="366" t="str">
        <f>IF($D46='W1'!$A$59,'W1'!E$59,IF($D46='W1'!$A$60,'W1'!E$60,IF($D46='W1'!$A$61,'W1'!E$61,IF($D46='W1'!$A$62,'W1'!E$62,IF($D46='W1'!$A$63,'W1'!E$63,IF($D46='W1'!$A$64,'W1'!E$64,IF($D46='W1'!$A$65,'W1'!E$65,IF($D46='W1'!$A$66,'W1'!E$66,IF($D46='W1'!$A$67,'W1'!E$67,IF($D46='W1'!$A$68,'W1'!H285,IF($D46='W1'!$A$69,'W1'!H285,IF($D46='W1'!$A$70,'W1'!H285,IF($D46='W1'!$A$71,"")))))))))))))</f>
        <v/>
      </c>
      <c r="K46" s="367"/>
      <c r="L46" s="366" t="str">
        <f>IF($D46='W1'!$A$59,'W1'!F$59,IF($D46='W1'!$A$60,'W1'!F$60,IF($D46='W1'!$A$61,'W1'!F$61,IF($D46='W1'!$A$62,'W1'!F$62,IF($D46='W1'!$A$63,'W1'!F$63,IF($D46='W1'!$A$64,'W1'!F$64,IF($D46='W1'!$A$65,'W1'!F$65,IF($D46='W1'!$A$66,'W1'!F$66,IF($D46='W1'!$A$67,'W1'!F$67,IF($D46='W1'!$A$68,'W1'!J285,IF($D46='W1'!$A$69,'W1'!J285,IF($D46='W1'!$A$70,'W1'!J285,IF($D46='W1'!$A$71,"")))))))))))))</f>
        <v/>
      </c>
      <c r="M46" s="367"/>
      <c r="N46" s="200">
        <f>IF(N18=0,0,IF(AND($D46="F-SMRA",N18=0),0,IF(AND($D46="F-SMRB",N18=0),0,IF(AND($D46="F-SMRC",N18=0),0,IF($D46='W1'!$A$68,'W1'!B311,IF($D46='W1'!$A$69,'W1'!B311,IF($D46='W1'!$A$70,'W1'!B311,ROUND(('Pilot Project Budget'!N18/'W1'!$C$5*'W1'!$C$9*(IF('Pilot Project Budget'!$D46='W1'!$A$47,'W1'!B$47,IF('Pilot Project Budget'!$D46='W1'!$A$48,'W1'!B$48,IF('Pilot Project Budget'!$D46='W1'!$A$49,'W1'!B$49,IF('Pilot Project Budget'!$D46='W1'!$A$50,'W1'!B$50,IF('Pilot Project Budget'!$D46='W1'!$A$51,'W1'!B$51,IF('Pilot Project Budget'!$D46='W1'!$A$52,'W1'!B$52,IF('Pilot Project Budget'!$D46='W1'!$A$53,'W1'!B$53,IF('Pilot Project Budget'!$D46='W1'!$A$54,'W1'!B$54,IF('Pilot Project Budget'!$D46='W1'!$A$55,'W1'!B$55))))))))))),0)+ROUND(N18/'W1'!$C$5*'W1'!$C$10*(IF('Pilot Project Budget'!$D46='W1'!$A$47,'W1'!C$47,IF('Pilot Project Budget'!$D46='W1'!$A$48,'W1'!C$48,IF('Pilot Project Budget'!$D46='W1'!$A$49,'W1'!C$49,IF('Pilot Project Budget'!$D46='W1'!$A$50,'W1'!C$50,IF('Pilot Project Budget'!$D46='W1'!$A$51,'W1'!C$51,IF('Pilot Project Budget'!$D46='W1'!$A$52,'W1'!C$52,IF('Pilot Project Budget'!$D46='W1'!$A$53,'W1'!C$53,IF('Pilot Project Budget'!$D46='W1'!$A$54,'W1'!C$54,IF('Pilot Project Budget'!$D46='W1'!$A$55,'W1'!C$55)))))))))),0))))))))</f>
        <v>0</v>
      </c>
      <c r="O46" s="187">
        <f>IF(O18=0,0,IF(AND($D46="F-SMRA",O18=0),0,IF(AND($D46="F-SMRB",O18=0),0,IF(AND($D46="F-SMRC",O18=0),0,IF($D46='W1'!$A$68,'W1'!D311,IF($D46='W1'!$A$69,'W1'!D311,IF($D46='W1'!$A$70,'W1'!D311,ROUND(('Pilot Project Budget'!O18/'W1'!$D$5*'W1'!$D$9*(IF('Pilot Project Budget'!$D46='W1'!$A$47,'W1'!D$47,IF('Pilot Project Budget'!$D46='W1'!$A$48,'W1'!D$48,IF('Pilot Project Budget'!$D46='W1'!$A$49,'W1'!D$49,IF('Pilot Project Budget'!$D46='W1'!$A$50,'W1'!D$50,IF('Pilot Project Budget'!$D46='W1'!$A$51,'W1'!D$51,IF('Pilot Project Budget'!$D46='W1'!$A$52,'W1'!D$52,IF('Pilot Project Budget'!$D46='W1'!$A$53,'W1'!D$53,IF('Pilot Project Budget'!$D46='W1'!$A$54,'W1'!D$54,IF('Pilot Project Budget'!$D46='W1'!$A$55,'W1'!D$55))))))))))),0)+ROUND(O18/'W1'!$D$5*'W1'!$D$10*(IF('Pilot Project Budget'!$D46='W1'!$A$47,'W1'!E$47,IF('Pilot Project Budget'!$D46='W1'!$A$48,'W1'!E$48,IF('Pilot Project Budget'!$D46='W1'!$A$49,'W1'!E$49,IF('Pilot Project Budget'!$D46='W1'!$A$50,'W1'!E$50,IF('Pilot Project Budget'!$D46='W1'!$A$51,'W1'!E$51,IF('Pilot Project Budget'!$D46='W1'!$A$52,'W1'!E$52,IF('Pilot Project Budget'!$D46='W1'!$A$53,'W1'!E$53,IF('Pilot Project Budget'!$D46='W1'!$A$54,'W1'!E$54,IF('Pilot Project Budget'!$D46='W1'!$A$55,'W1'!E$55)))))))))),0))))))))</f>
        <v>0</v>
      </c>
      <c r="P46" s="187">
        <f>IF(P18=0,0,IF(AND($D46="F-SMRA",P18=0),0,IF(AND($D46="F-SMRB",P18=0),0,IF(AND($D46="F-SMRC",P18=0),0,IF($D46='W1'!$A$68,'W1'!F311,IF($D46='W1'!$A$69,'W1'!F311,IF($D46='W1'!$A$70,'W1'!F311,ROUND(('Pilot Project Budget'!P18/'W1'!$E$5*'W1'!$E$9*(IF('Pilot Project Budget'!$D46='W1'!$A$47,'W1'!F$47,IF('Pilot Project Budget'!$D46='W1'!$A$48,'W1'!F$48,IF('Pilot Project Budget'!$D46='W1'!$A$49,'W1'!F$49,IF('Pilot Project Budget'!$D46='W1'!$A$50,'W1'!F$50,IF('Pilot Project Budget'!$D46='W1'!$A$51,'W1'!F$51,IF('Pilot Project Budget'!$D46='W1'!$A$52,'W1'!F$52,IF('Pilot Project Budget'!$D46='W1'!$A$53,'W1'!F$53,IF('Pilot Project Budget'!$D46='W1'!$A$54,'W1'!F$54,IF('Pilot Project Budget'!$D46='W1'!$A$55,'W1'!F$55))))))))))),0)+ROUND(P18/'W1'!$E$5*'W1'!$E$10*(IF('Pilot Project Budget'!$D46='W1'!$A$47,'W1'!G$47,IF('Pilot Project Budget'!$D46='W1'!$A$48,'W1'!G$48,IF('Pilot Project Budget'!$D46='W1'!$A$49,'W1'!G$49,IF('Pilot Project Budget'!$D46='W1'!$A$50,'W1'!G$50,IF('Pilot Project Budget'!$D46='W1'!$A$51,'W1'!G$51,IF('Pilot Project Budget'!$D46='W1'!$A$52,'W1'!G$52,IF('Pilot Project Budget'!$D46='W1'!$A$53,'W1'!G$53,IF('Pilot Project Budget'!$D46='W1'!$A$54,'W1'!G$54,IF('Pilot Project Budget'!$D46='W1'!$A$55,'W1'!G$55)))))))))),0))))))))</f>
        <v>0</v>
      </c>
      <c r="Q46" s="187">
        <f>IF(Q18=0,0,IF(AND($D46="F-SMRA",Q18=0),0,IF(AND($D46="F-SMRB",Q18=0),0,IF(AND($D46="F-SMRC",Q18=0),0,IF($D46='W1'!$A$68,'W1'!H311,IF($D46='W1'!$A$69,'W1'!H311,IF($D46='W1'!$A$70,'W1'!H311,ROUND(('Pilot Project Budget'!Q18/'W1'!$F$5*'W1'!$F$9*(IF('Pilot Project Budget'!$D46='W1'!$A$47,'W1'!H$47,IF('Pilot Project Budget'!$D46='W1'!$A$48,'W1'!H$48,IF('Pilot Project Budget'!$D46='W1'!$A$49,'W1'!H$49,IF('Pilot Project Budget'!$D46='W1'!$A$50,'W1'!H$50,IF('Pilot Project Budget'!$D46='W1'!$A$51,'W1'!H$51,IF('Pilot Project Budget'!$D46='W1'!$A$52,'W1'!H$52,IF('Pilot Project Budget'!$D46='W1'!$A$53,'W1'!H$53,IF('Pilot Project Budget'!$D46='W1'!$A$54,'W1'!H$54,IF('Pilot Project Budget'!$D46='W1'!$A$55,'W1'!H$55))))))))))),0)+ROUND(Q18/'W1'!$F$5*'W1'!$F$10*(IF('Pilot Project Budget'!$D46='W1'!$A$47,'W1'!I$47,IF('Pilot Project Budget'!$D46='W1'!$A$48,'W1'!I$48,IF('Pilot Project Budget'!$D46='W1'!$A$49,'W1'!I$49,IF('Pilot Project Budget'!$D46='W1'!$A$50,'W1'!I$50,IF('Pilot Project Budget'!$D46='W1'!$A$51,'W1'!I$51,IF('Pilot Project Budget'!$D46='W1'!$A$52,'W1'!I$52,IF('Pilot Project Budget'!$D46='W1'!$A$53,'W1'!I$53,IF('Pilot Project Budget'!$D46='W1'!$A$54,'W1'!I$54,IF('Pilot Project Budget'!$D46='W1'!$A$55,'W1'!I$55)))))))))),0))))))))</f>
        <v>0</v>
      </c>
      <c r="R46" s="187">
        <f>IF(R18=0,0,IF(AND($D46="F-SMRA",R18=0),0,IF(AND($D46="F-SMRB",R18=0),0,IF(AND($D46="F-SMRC",R18=0),0,IF($D46='W1'!$A$68,'W1'!J311,IF($D46='W1'!$A$69,'W1'!J311,IF($D46='W1'!$A$70,'W1'!J311,ROUND(('Pilot Project Budget'!R18/'W1'!$G$5*'W1'!$G$9*(IF('Pilot Project Budget'!$D46='W1'!$A$47,'W1'!J$47,IF('Pilot Project Budget'!$D46='W1'!$A$48,'W1'!J$48,IF('Pilot Project Budget'!$D46='W1'!$A$49,'W1'!J$49,IF('Pilot Project Budget'!$D46='W1'!$A$50,'W1'!J$50,IF('Pilot Project Budget'!$D46='W1'!$A$51,'W1'!J$51,IF('Pilot Project Budget'!$D46='W1'!$A$52,'W1'!J$52,IF('Pilot Project Budget'!$D46='W1'!$A$53,'W1'!J$53,IF('Pilot Project Budget'!$D46='W1'!$A$54,'W1'!J$54,IF('Pilot Project Budget'!$D46='W1'!$A$55,'W1'!J$55))))))))))),0)+ROUND(R18/'W1'!$G$5*'W1'!$G$10*(IF('Pilot Project Budget'!$D46='W1'!$A$47,'W1'!K$47,IF('Pilot Project Budget'!$D46='W1'!$A$48,'W1'!K$48,IF('Pilot Project Budget'!$D46='W1'!$A$49,'W1'!K$49,IF('Pilot Project Budget'!$D46='W1'!$A$50,'W1'!K$50,IF('Pilot Project Budget'!$D46='W1'!$A$51,'W1'!K$51,IF('Pilot Project Budget'!$D46='W1'!$A$52,'W1'!K$52,IF('Pilot Project Budget'!$D46='W1'!$A$53,'W1'!K$53,IF('Pilot Project Budget'!$D46='W1'!$A$54,'W1'!K$54,IF('Pilot Project Budget'!$D46='W1'!$A$55,'W1'!K$55)))))))))),0))))))))</f>
        <v>0</v>
      </c>
      <c r="S46" s="187">
        <f t="shared" si="3"/>
        <v>0</v>
      </c>
      <c r="T46" s="248"/>
      <c r="U46" s="248"/>
      <c r="V46" s="248"/>
      <c r="W46" s="248"/>
      <c r="X46" s="248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hidden="1" x14ac:dyDescent="0.2">
      <c r="A47" s="92">
        <v>12</v>
      </c>
      <c r="B47" s="381">
        <f t="shared" si="2"/>
        <v>0</v>
      </c>
      <c r="C47" s="382"/>
      <c r="D47" s="199" t="s">
        <v>52</v>
      </c>
      <c r="E47" s="226" t="str">
        <f>IF($D47='W1'!$A$59,'W1'!B$59,IF($D47='W1'!$A$60,'W1'!B$60,IF($D47='W1'!$A$61,'W1'!B$61,IF($D47='W1'!$A$62,'W1'!B$62,IF($D47='W1'!$A$63,'W1'!B$63,IF($D47='W1'!$A$64,'W1'!B$64,IF($D47='W1'!$A$65,'W1'!B$65,IF($D47='W1'!$A$66,'W1'!B$66,IF($D47='W1'!$A$67,'W1'!B$67,IF($D47='W1'!$A$68,'W1'!B286,IF($D47='W1'!$A$69,'W1'!B286,IF($D47='W1'!$A$70,'W1'!B286,IF($D47='W1'!$A$71,"")))))))))))))</f>
        <v/>
      </c>
      <c r="F47" s="378" t="str">
        <f>IF($D47='W1'!$A$59,'W1'!C$59,IF($D47='W1'!$A$60,'W1'!C$60,IF($D47='W1'!$A$61,'W1'!C$61,IF($D47='W1'!$A$62,'W1'!C$62,IF($D47='W1'!$A$63,'W1'!C$63,IF($D47='W1'!$A$64,'W1'!C$64,IF($D47='W1'!$A$65,'W1'!C$65,IF($D47='W1'!$A$66,'W1'!C$66,IF($D47='W1'!$A$67,'W1'!C$67,IF($D47='W1'!$A$68,'W1'!D286,IF($D47='W1'!$A$69,'W1'!D286,IF($D47='W1'!$A$70,'W1'!D286,IF($D47='W1'!$A$71,"")))))))))))))</f>
        <v/>
      </c>
      <c r="G47" s="379"/>
      <c r="H47" s="366" t="str">
        <f>IF($D47='W1'!$A$59,'W1'!D$59,IF($D47='W1'!$A$60,'W1'!D$60,IF($D47='W1'!$A$61,'W1'!D$61,IF($D47='W1'!$A$62,'W1'!D$62,IF($D47='W1'!$A$63,'W1'!D$63,IF($D47='W1'!$A$64,'W1'!D$64,IF($D47='W1'!$A$65,'W1'!D$65,IF($D47='W1'!$A$66,'W1'!D$66,IF($D47='W1'!$A$67,'W1'!D$67,IF($D47='W1'!$A$68,'W1'!F286,IF($D47='W1'!$A$69,'W1'!F286,IF($D47='W1'!$A$70,'W1'!F286,IF($D47='W1'!$A$71,"")))))))))))))</f>
        <v/>
      </c>
      <c r="I47" s="367"/>
      <c r="J47" s="366" t="str">
        <f>IF($D47='W1'!$A$59,'W1'!E$59,IF($D47='W1'!$A$60,'W1'!E$60,IF($D47='W1'!$A$61,'W1'!E$61,IF($D47='W1'!$A$62,'W1'!E$62,IF($D47='W1'!$A$63,'W1'!E$63,IF($D47='W1'!$A$64,'W1'!E$64,IF($D47='W1'!$A$65,'W1'!E$65,IF($D47='W1'!$A$66,'W1'!E$66,IF($D47='W1'!$A$67,'W1'!E$67,IF($D47='W1'!$A$68,'W1'!H286,IF($D47='W1'!$A$69,'W1'!H286,IF($D47='W1'!$A$70,'W1'!H286,IF($D47='W1'!$A$71,"")))))))))))))</f>
        <v/>
      </c>
      <c r="K47" s="367"/>
      <c r="L47" s="366" t="str">
        <f>IF($D47='W1'!$A$59,'W1'!F$59,IF($D47='W1'!$A$60,'W1'!F$60,IF($D47='W1'!$A$61,'W1'!F$61,IF($D47='W1'!$A$62,'W1'!F$62,IF($D47='W1'!$A$63,'W1'!F$63,IF($D47='W1'!$A$64,'W1'!F$64,IF($D47='W1'!$A$65,'W1'!F$65,IF($D47='W1'!$A$66,'W1'!F$66,IF($D47='W1'!$A$67,'W1'!F$67,IF($D47='W1'!$A$68,'W1'!J286,IF($D47='W1'!$A$69,'W1'!J286,IF($D47='W1'!$A$70,'W1'!J286,IF($D47='W1'!$A$71,"")))))))))))))</f>
        <v/>
      </c>
      <c r="M47" s="367"/>
      <c r="N47" s="187">
        <f>IF(N19=0,0,IF(AND($D47="F-SMRA",N19=0),0,IF(AND($D47="F-SMRB",N19=0),0,IF(AND($D47="F-SMRC",N19=0),0,IF($D47='W1'!$A$68,'W1'!B312,IF($D47='W1'!$A$69,'W1'!B312,IF($D47='W1'!$A$70,'W1'!B312,ROUND(('Pilot Project Budget'!N19/'W1'!$C$5*'W1'!$C$9*(IF('Pilot Project Budget'!$D47='W1'!$A$47,'W1'!B$47,IF('Pilot Project Budget'!$D47='W1'!$A$48,'W1'!B$48,IF('Pilot Project Budget'!$D47='W1'!$A$49,'W1'!B$49,IF('Pilot Project Budget'!$D47='W1'!$A$50,'W1'!B$50,IF('Pilot Project Budget'!$D47='W1'!$A$51,'W1'!B$51,IF('Pilot Project Budget'!$D47='W1'!$A$52,'W1'!B$52,IF('Pilot Project Budget'!$D47='W1'!$A$53,'W1'!B$53,IF('Pilot Project Budget'!$D47='W1'!$A$54,'W1'!B$54,IF('Pilot Project Budget'!$D47='W1'!$A$55,'W1'!B$55))))))))))),0)+ROUND(N19/'W1'!$C$5*'W1'!$C$10*(IF('Pilot Project Budget'!$D47='W1'!$A$47,'W1'!C$47,IF('Pilot Project Budget'!$D47='W1'!$A$48,'W1'!C$48,IF('Pilot Project Budget'!$D47='W1'!$A$49,'W1'!C$49,IF('Pilot Project Budget'!$D47='W1'!$A$50,'W1'!C$50,IF('Pilot Project Budget'!$D47='W1'!$A$51,'W1'!C$51,IF('Pilot Project Budget'!$D47='W1'!$A$52,'W1'!C$52,IF('Pilot Project Budget'!$D47='W1'!$A$53,'W1'!C$53,IF('Pilot Project Budget'!$D47='W1'!$A$54,'W1'!C$54,IF('Pilot Project Budget'!$D47='W1'!$A$55,'W1'!C$55)))))))))),0))))))))</f>
        <v>0</v>
      </c>
      <c r="O47" s="187">
        <f>IF(O19=0,0,IF(AND($D47="F-SMRA",O19=0),0,IF(AND($D47="F-SMRB",O19=0),0,IF(AND($D47="F-SMRC",O19=0),0,IF($D47='W1'!$A$68,'W1'!D312,IF($D47='W1'!$A$69,'W1'!D312,IF($D47='W1'!$A$70,'W1'!D312,ROUND(('Pilot Project Budget'!O19/'W1'!$D$5*'W1'!$D$9*(IF('Pilot Project Budget'!$D47='W1'!$A$47,'W1'!D$47,IF('Pilot Project Budget'!$D47='W1'!$A$48,'W1'!D$48,IF('Pilot Project Budget'!$D47='W1'!$A$49,'W1'!D$49,IF('Pilot Project Budget'!$D47='W1'!$A$50,'W1'!D$50,IF('Pilot Project Budget'!$D47='W1'!$A$51,'W1'!D$51,IF('Pilot Project Budget'!$D47='W1'!$A$52,'W1'!D$52,IF('Pilot Project Budget'!$D47='W1'!$A$53,'W1'!D$53,IF('Pilot Project Budget'!$D47='W1'!$A$54,'W1'!D$54,IF('Pilot Project Budget'!$D47='W1'!$A$55,'W1'!D$55))))))))))),0)+ROUND(O19/'W1'!$D$5*'W1'!$D$10*(IF('Pilot Project Budget'!$D47='W1'!$A$47,'W1'!E$47,IF('Pilot Project Budget'!$D47='W1'!$A$48,'W1'!E$48,IF('Pilot Project Budget'!$D47='W1'!$A$49,'W1'!E$49,IF('Pilot Project Budget'!$D47='W1'!$A$50,'W1'!E$50,IF('Pilot Project Budget'!$D47='W1'!$A$51,'W1'!E$51,IF('Pilot Project Budget'!$D47='W1'!$A$52,'W1'!E$52,IF('Pilot Project Budget'!$D47='W1'!$A$53,'W1'!E$53,IF('Pilot Project Budget'!$D47='W1'!$A$54,'W1'!E$54,IF('Pilot Project Budget'!$D47='W1'!$A$55,'W1'!E$55)))))))))),0))))))))</f>
        <v>0</v>
      </c>
      <c r="P47" s="187">
        <f>IF(P19=0,0,IF(AND($D47="F-SMRA",P19=0),0,IF(AND($D47="F-SMRB",P19=0),0,IF(AND($D47="F-SMRC",P19=0),0,IF($D47='W1'!$A$68,'W1'!F312,IF($D47='W1'!$A$69,'W1'!F312,IF($D47='W1'!$A$70,'W1'!F312,ROUND(('Pilot Project Budget'!P19/'W1'!$E$5*'W1'!$E$9*(IF('Pilot Project Budget'!$D47='W1'!$A$47,'W1'!F$47,IF('Pilot Project Budget'!$D47='W1'!$A$48,'W1'!F$48,IF('Pilot Project Budget'!$D47='W1'!$A$49,'W1'!F$49,IF('Pilot Project Budget'!$D47='W1'!$A$50,'W1'!F$50,IF('Pilot Project Budget'!$D47='W1'!$A$51,'W1'!F$51,IF('Pilot Project Budget'!$D47='W1'!$A$52,'W1'!F$52,IF('Pilot Project Budget'!$D47='W1'!$A$53,'W1'!F$53,IF('Pilot Project Budget'!$D47='W1'!$A$54,'W1'!F$54,IF('Pilot Project Budget'!$D47='W1'!$A$55,'W1'!F$55))))))))))),0)+ROUND(P19/'W1'!$E$5*'W1'!$E$10*(IF('Pilot Project Budget'!$D47='W1'!$A$47,'W1'!G$47,IF('Pilot Project Budget'!$D47='W1'!$A$48,'W1'!G$48,IF('Pilot Project Budget'!$D47='W1'!$A$49,'W1'!G$49,IF('Pilot Project Budget'!$D47='W1'!$A$50,'W1'!G$50,IF('Pilot Project Budget'!$D47='W1'!$A$51,'W1'!G$51,IF('Pilot Project Budget'!$D47='W1'!$A$52,'W1'!G$52,IF('Pilot Project Budget'!$D47='W1'!$A$53,'W1'!G$53,IF('Pilot Project Budget'!$D47='W1'!$A$54,'W1'!G$54,IF('Pilot Project Budget'!$D47='W1'!$A$55,'W1'!G$55)))))))))),0))))))))</f>
        <v>0</v>
      </c>
      <c r="Q47" s="187">
        <f>IF(Q19=0,0,IF(AND($D47="F-SMRA",Q19=0),0,IF(AND($D47="F-SMRB",Q19=0),0,IF(AND($D47="F-SMRC",Q19=0),0,IF($D47='W1'!$A$68,'W1'!H312,IF($D47='W1'!$A$69,'W1'!H312,IF($D47='W1'!$A$70,'W1'!H312,ROUND(('Pilot Project Budget'!Q19/'W1'!$F$5*'W1'!$F$9*(IF('Pilot Project Budget'!$D47='W1'!$A$47,'W1'!H$47,IF('Pilot Project Budget'!$D47='W1'!$A$48,'W1'!H$48,IF('Pilot Project Budget'!$D47='W1'!$A$49,'W1'!H$49,IF('Pilot Project Budget'!$D47='W1'!$A$50,'W1'!H$50,IF('Pilot Project Budget'!$D47='W1'!$A$51,'W1'!H$51,IF('Pilot Project Budget'!$D47='W1'!$A$52,'W1'!H$52,IF('Pilot Project Budget'!$D47='W1'!$A$53,'W1'!H$53,IF('Pilot Project Budget'!$D47='W1'!$A$54,'W1'!H$54,IF('Pilot Project Budget'!$D47='W1'!$A$55,'W1'!H$55))))))))))),0)+ROUND(Q19/'W1'!$F$5*'W1'!$F$10*(IF('Pilot Project Budget'!$D47='W1'!$A$47,'W1'!I$47,IF('Pilot Project Budget'!$D47='W1'!$A$48,'W1'!I$48,IF('Pilot Project Budget'!$D47='W1'!$A$49,'W1'!I$49,IF('Pilot Project Budget'!$D47='W1'!$A$50,'W1'!I$50,IF('Pilot Project Budget'!$D47='W1'!$A$51,'W1'!I$51,IF('Pilot Project Budget'!$D47='W1'!$A$52,'W1'!I$52,IF('Pilot Project Budget'!$D47='W1'!$A$53,'W1'!I$53,IF('Pilot Project Budget'!$D47='W1'!$A$54,'W1'!I$54,IF('Pilot Project Budget'!$D47='W1'!$A$55,'W1'!I$55)))))))))),0))))))))</f>
        <v>0</v>
      </c>
      <c r="R47" s="187">
        <f>IF(R19=0,0,IF(AND($D47="F-SMRA",R19=0),0,IF(AND($D47="F-SMRB",R19=0),0,IF(AND($D47="F-SMRC",R19=0),0,IF($D47='W1'!$A$68,'W1'!J312,IF($D47='W1'!$A$69,'W1'!J312,IF($D47='W1'!$A$70,'W1'!J312,ROUND(('Pilot Project Budget'!R19/'W1'!$G$5*'W1'!$G$9*(IF('Pilot Project Budget'!$D47='W1'!$A$47,'W1'!J$47,IF('Pilot Project Budget'!$D47='W1'!$A$48,'W1'!J$48,IF('Pilot Project Budget'!$D47='W1'!$A$49,'W1'!J$49,IF('Pilot Project Budget'!$D47='W1'!$A$50,'W1'!J$50,IF('Pilot Project Budget'!$D47='W1'!$A$51,'W1'!J$51,IF('Pilot Project Budget'!$D47='W1'!$A$52,'W1'!J$52,IF('Pilot Project Budget'!$D47='W1'!$A$53,'W1'!J$53,IF('Pilot Project Budget'!$D47='W1'!$A$54,'W1'!J$54,IF('Pilot Project Budget'!$D47='W1'!$A$55,'W1'!J$55))))))))))),0)+ROUND(R19/'W1'!$G$5*'W1'!$G$10*(IF('Pilot Project Budget'!$D47='W1'!$A$47,'W1'!K$47,IF('Pilot Project Budget'!$D47='W1'!$A$48,'W1'!K$48,IF('Pilot Project Budget'!$D47='W1'!$A$49,'W1'!K$49,IF('Pilot Project Budget'!$D47='W1'!$A$50,'W1'!K$50,IF('Pilot Project Budget'!$D47='W1'!$A$51,'W1'!K$51,IF('Pilot Project Budget'!$D47='W1'!$A$52,'W1'!K$52,IF('Pilot Project Budget'!$D47='W1'!$A$53,'W1'!K$53,IF('Pilot Project Budget'!$D47='W1'!$A$54,'W1'!K$54,IF('Pilot Project Budget'!$D47='W1'!$A$55,'W1'!K$55)))))))))),0))))))))</f>
        <v>0</v>
      </c>
      <c r="S47" s="187">
        <f t="shared" si="3"/>
        <v>0</v>
      </c>
      <c r="T47" s="248"/>
      <c r="U47" s="248"/>
      <c r="V47" s="248"/>
      <c r="W47" s="248"/>
      <c r="X47" s="248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idden="1" x14ac:dyDescent="0.2">
      <c r="A48" s="92">
        <v>13</v>
      </c>
      <c r="B48" s="381">
        <f t="shared" si="2"/>
        <v>0</v>
      </c>
      <c r="C48" s="382"/>
      <c r="D48" s="199" t="s">
        <v>52</v>
      </c>
      <c r="E48" s="226" t="str">
        <f>IF($D48='W1'!$A$59,'W1'!B$59,IF($D48='W1'!$A$60,'W1'!B$60,IF($D48='W1'!$A$61,'W1'!B$61,IF($D48='W1'!$A$62,'W1'!B$62,IF($D48='W1'!$A$63,'W1'!B$63,IF($D48='W1'!$A$64,'W1'!B$64,IF($D48='W1'!$A$65,'W1'!B$65,IF($D48='W1'!$A$66,'W1'!B$66,IF($D48='W1'!$A$67,'W1'!B$67,IF($D48='W1'!$A$68,'W1'!B287,IF($D48='W1'!$A$69,'W1'!B287,IF($D48='W1'!$A$70,'W1'!B287,IF($D48='W1'!$A$71,"")))))))))))))</f>
        <v/>
      </c>
      <c r="F48" s="378" t="str">
        <f>IF($D48='W1'!$A$59,'W1'!C$59,IF($D48='W1'!$A$60,'W1'!C$60,IF($D48='W1'!$A$61,'W1'!C$61,IF($D48='W1'!$A$62,'W1'!C$62,IF($D48='W1'!$A$63,'W1'!C$63,IF($D48='W1'!$A$64,'W1'!C$64,IF($D48='W1'!$A$65,'W1'!C$65,IF($D48='W1'!$A$66,'W1'!C$66,IF($D48='W1'!$A$67,'W1'!C$67,IF($D48='W1'!$A$68,'W1'!D287,IF($D48='W1'!$A$69,'W1'!D287,IF($D48='W1'!$A$70,'W1'!D287,IF($D48='W1'!$A$71,"")))))))))))))</f>
        <v/>
      </c>
      <c r="G48" s="379"/>
      <c r="H48" s="366" t="str">
        <f>IF($D48='W1'!$A$59,'W1'!D$59,IF($D48='W1'!$A$60,'W1'!D$60,IF($D48='W1'!$A$61,'W1'!D$61,IF($D48='W1'!$A$62,'W1'!D$62,IF($D48='W1'!$A$63,'W1'!D$63,IF($D48='W1'!$A$64,'W1'!D$64,IF($D48='W1'!$A$65,'W1'!D$65,IF($D48='W1'!$A$66,'W1'!D$66,IF($D48='W1'!$A$67,'W1'!D$67,IF($D48='W1'!$A$68,'W1'!F287,IF($D48='W1'!$A$69,'W1'!F287,IF($D48='W1'!$A$70,'W1'!F287,IF($D48='W1'!$A$71,"")))))))))))))</f>
        <v/>
      </c>
      <c r="I48" s="367"/>
      <c r="J48" s="366" t="str">
        <f>IF($D48='W1'!$A$59,'W1'!E$59,IF($D48='W1'!$A$60,'W1'!E$60,IF($D48='W1'!$A$61,'W1'!E$61,IF($D48='W1'!$A$62,'W1'!E$62,IF($D48='W1'!$A$63,'W1'!E$63,IF($D48='W1'!$A$64,'W1'!E$64,IF($D48='W1'!$A$65,'W1'!E$65,IF($D48='W1'!$A$66,'W1'!E$66,IF($D48='W1'!$A$67,'W1'!E$67,IF($D48='W1'!$A$68,'W1'!H287,IF($D48='W1'!$A$69,'W1'!H287,IF($D48='W1'!$A$70,'W1'!H287,IF($D48='W1'!$A$71,"")))))))))))))</f>
        <v/>
      </c>
      <c r="K48" s="367"/>
      <c r="L48" s="366" t="str">
        <f>IF($D48='W1'!$A$59,'W1'!F$59,IF($D48='W1'!$A$60,'W1'!F$60,IF($D48='W1'!$A$61,'W1'!F$61,IF($D48='W1'!$A$62,'W1'!F$62,IF($D48='W1'!$A$63,'W1'!F$63,IF($D48='W1'!$A$64,'W1'!F$64,IF($D48='W1'!$A$65,'W1'!F$65,IF($D48='W1'!$A$66,'W1'!F$66,IF($D48='W1'!$A$67,'W1'!F$67,IF($D48='W1'!$A$68,'W1'!J287,IF($D48='W1'!$A$69,'W1'!J287,IF($D48='W1'!$A$70,'W1'!J287,IF($D48='W1'!$A$71,"")))))))))))))</f>
        <v/>
      </c>
      <c r="M48" s="367"/>
      <c r="N48" s="187">
        <f>IF(N20=0,0,IF(AND($D48="F-SMRA",N20=0),0,IF(AND($D48="F-SMRB",N20=0),0,IF(AND($D48="F-SMRC",N20=0),0,IF($D48='W1'!$A$68,'W1'!B313,IF($D48='W1'!$A$69,'W1'!B313,IF($D48='W1'!$A$70,'W1'!B313,ROUND(('Pilot Project Budget'!N20/'W1'!$C$5*'W1'!$C$9*(IF('Pilot Project Budget'!$D48='W1'!$A$47,'W1'!B$47,IF('Pilot Project Budget'!$D48='W1'!$A$48,'W1'!B$48,IF('Pilot Project Budget'!$D48='W1'!$A$49,'W1'!B$49,IF('Pilot Project Budget'!$D48='W1'!$A$50,'W1'!B$50,IF('Pilot Project Budget'!$D48='W1'!$A$51,'W1'!B$51,IF('Pilot Project Budget'!$D48='W1'!$A$52,'W1'!B$52,IF('Pilot Project Budget'!$D48='W1'!$A$53,'W1'!B$53,IF('Pilot Project Budget'!$D48='W1'!$A$54,'W1'!B$54,IF('Pilot Project Budget'!$D48='W1'!$A$55,'W1'!B$55))))))))))),0)+ROUND(N20/'W1'!$C$5*'W1'!$C$10*(IF('Pilot Project Budget'!$D48='W1'!$A$47,'W1'!C$47,IF('Pilot Project Budget'!$D48='W1'!$A$48,'W1'!C$48,IF('Pilot Project Budget'!$D48='W1'!$A$49,'W1'!C$49,IF('Pilot Project Budget'!$D48='W1'!$A$50,'W1'!C$50,IF('Pilot Project Budget'!$D48='W1'!$A$51,'W1'!C$51,IF('Pilot Project Budget'!$D48='W1'!$A$52,'W1'!C$52,IF('Pilot Project Budget'!$D48='W1'!$A$53,'W1'!C$53,IF('Pilot Project Budget'!$D48='W1'!$A$54,'W1'!C$54,IF('Pilot Project Budget'!$D48='W1'!$A$55,'W1'!C$55)))))))))),0))))))))</f>
        <v>0</v>
      </c>
      <c r="O48" s="187">
        <f>IF(O20=0,0,IF(AND($D48="F-SMRA",O20=0),0,IF(AND($D48="F-SMRB",O20=0),0,IF(AND($D48="F-SMRC",O20=0),0,IF($D48='W1'!$A$68,'W1'!D313,IF($D48='W1'!$A$69,'W1'!D313,IF($D48='W1'!$A$70,'W1'!D313,ROUND(('Pilot Project Budget'!O20/'W1'!$D$5*'W1'!$D$9*(IF('Pilot Project Budget'!$D48='W1'!$A$47,'W1'!D$47,IF('Pilot Project Budget'!$D48='W1'!$A$48,'W1'!D$48,IF('Pilot Project Budget'!$D48='W1'!$A$49,'W1'!D$49,IF('Pilot Project Budget'!$D48='W1'!$A$50,'W1'!D$50,IF('Pilot Project Budget'!$D48='W1'!$A$51,'W1'!D$51,IF('Pilot Project Budget'!$D48='W1'!$A$52,'W1'!D$52,IF('Pilot Project Budget'!$D48='W1'!$A$53,'W1'!D$53,IF('Pilot Project Budget'!$D48='W1'!$A$54,'W1'!D$54,IF('Pilot Project Budget'!$D48='W1'!$A$55,'W1'!D$55))))))))))),0)+ROUND(O20/'W1'!$D$5*'W1'!$D$10*(IF('Pilot Project Budget'!$D48='W1'!$A$47,'W1'!E$47,IF('Pilot Project Budget'!$D48='W1'!$A$48,'W1'!E$48,IF('Pilot Project Budget'!$D48='W1'!$A$49,'W1'!E$49,IF('Pilot Project Budget'!$D48='W1'!$A$50,'W1'!E$50,IF('Pilot Project Budget'!$D48='W1'!$A$51,'W1'!E$51,IF('Pilot Project Budget'!$D48='W1'!$A$52,'W1'!E$52,IF('Pilot Project Budget'!$D48='W1'!$A$53,'W1'!E$53,IF('Pilot Project Budget'!$D48='W1'!$A$54,'W1'!E$54,IF('Pilot Project Budget'!$D48='W1'!$A$55,'W1'!E$55)))))))))),0))))))))</f>
        <v>0</v>
      </c>
      <c r="P48" s="187">
        <f>IF(P20=0,0,IF(AND($D48="F-SMRA",P20=0),0,IF(AND($D48="F-SMRB",P20=0),0,IF(AND($D48="F-SMRC",P20=0),0,IF($D48='W1'!$A$68,'W1'!F313,IF($D48='W1'!$A$69,'W1'!F313,IF($D48='W1'!$A$70,'W1'!F313,ROUND(('Pilot Project Budget'!P20/'W1'!$E$5*'W1'!$E$9*(IF('Pilot Project Budget'!$D48='W1'!$A$47,'W1'!F$47,IF('Pilot Project Budget'!$D48='W1'!$A$48,'W1'!F$48,IF('Pilot Project Budget'!$D48='W1'!$A$49,'W1'!F$49,IF('Pilot Project Budget'!$D48='W1'!$A$50,'W1'!F$50,IF('Pilot Project Budget'!$D48='W1'!$A$51,'W1'!F$51,IF('Pilot Project Budget'!$D48='W1'!$A$52,'W1'!F$52,IF('Pilot Project Budget'!$D48='W1'!$A$53,'W1'!F$53,IF('Pilot Project Budget'!$D48='W1'!$A$54,'W1'!F$54,IF('Pilot Project Budget'!$D48='W1'!$A$55,'W1'!F$55))))))))))),0)+ROUND(P20/'W1'!$E$5*'W1'!$E$10*(IF('Pilot Project Budget'!$D48='W1'!$A$47,'W1'!G$47,IF('Pilot Project Budget'!$D48='W1'!$A$48,'W1'!G$48,IF('Pilot Project Budget'!$D48='W1'!$A$49,'W1'!G$49,IF('Pilot Project Budget'!$D48='W1'!$A$50,'W1'!G$50,IF('Pilot Project Budget'!$D48='W1'!$A$51,'W1'!G$51,IF('Pilot Project Budget'!$D48='W1'!$A$52,'W1'!G$52,IF('Pilot Project Budget'!$D48='W1'!$A$53,'W1'!G$53,IF('Pilot Project Budget'!$D48='W1'!$A$54,'W1'!G$54,IF('Pilot Project Budget'!$D48='W1'!$A$55,'W1'!G$55)))))))))),0))))))))</f>
        <v>0</v>
      </c>
      <c r="Q48" s="187">
        <f>IF(Q20=0,0,IF(AND($D48="F-SMRA",Q20=0),0,IF(AND($D48="F-SMRB",Q20=0),0,IF(AND($D48="F-SMRC",Q20=0),0,IF($D48='W1'!$A$68,'W1'!H313,IF($D48='W1'!$A$69,'W1'!H313,IF($D48='W1'!$A$70,'W1'!H313,ROUND(('Pilot Project Budget'!Q20/'W1'!$F$5*'W1'!$F$9*(IF('Pilot Project Budget'!$D48='W1'!$A$47,'W1'!H$47,IF('Pilot Project Budget'!$D48='W1'!$A$48,'W1'!H$48,IF('Pilot Project Budget'!$D48='W1'!$A$49,'W1'!H$49,IF('Pilot Project Budget'!$D48='W1'!$A$50,'W1'!H$50,IF('Pilot Project Budget'!$D48='W1'!$A$51,'W1'!H$51,IF('Pilot Project Budget'!$D48='W1'!$A$52,'W1'!H$52,IF('Pilot Project Budget'!$D48='W1'!$A$53,'W1'!H$53,IF('Pilot Project Budget'!$D48='W1'!$A$54,'W1'!H$54,IF('Pilot Project Budget'!$D48='W1'!$A$55,'W1'!H$55))))))))))),0)+ROUND(Q20/'W1'!$F$5*'W1'!$F$10*(IF('Pilot Project Budget'!$D48='W1'!$A$47,'W1'!I$47,IF('Pilot Project Budget'!$D48='W1'!$A$48,'W1'!I$48,IF('Pilot Project Budget'!$D48='W1'!$A$49,'W1'!I$49,IF('Pilot Project Budget'!$D48='W1'!$A$50,'W1'!I$50,IF('Pilot Project Budget'!$D48='W1'!$A$51,'W1'!I$51,IF('Pilot Project Budget'!$D48='W1'!$A$52,'W1'!I$52,IF('Pilot Project Budget'!$D48='W1'!$A$53,'W1'!I$53,IF('Pilot Project Budget'!$D48='W1'!$A$54,'W1'!I$54,IF('Pilot Project Budget'!$D48='W1'!$A$55,'W1'!I$55)))))))))),0))))))))</f>
        <v>0</v>
      </c>
      <c r="R48" s="187">
        <f>IF(R20=0,0,IF(AND($D48="F-SMRA",R20=0),0,IF(AND($D48="F-SMRB",R20=0),0,IF(AND($D48="F-SMRC",R20=0),0,IF($D48='W1'!$A$68,'W1'!J313,IF($D48='W1'!$A$69,'W1'!J313,IF($D48='W1'!$A$70,'W1'!J313,ROUND(('Pilot Project Budget'!R20/'W1'!$G$5*'W1'!$G$9*(IF('Pilot Project Budget'!$D48='W1'!$A$47,'W1'!J$47,IF('Pilot Project Budget'!$D48='W1'!$A$48,'W1'!J$48,IF('Pilot Project Budget'!$D48='W1'!$A$49,'W1'!J$49,IF('Pilot Project Budget'!$D48='W1'!$A$50,'W1'!J$50,IF('Pilot Project Budget'!$D48='W1'!$A$51,'W1'!J$51,IF('Pilot Project Budget'!$D48='W1'!$A$52,'W1'!J$52,IF('Pilot Project Budget'!$D48='W1'!$A$53,'W1'!J$53,IF('Pilot Project Budget'!$D48='W1'!$A$54,'W1'!J$54,IF('Pilot Project Budget'!$D48='W1'!$A$55,'W1'!J$55))))))))))),0)+ROUND(R20/'W1'!$G$5*'W1'!$G$10*(IF('Pilot Project Budget'!$D48='W1'!$A$47,'W1'!K$47,IF('Pilot Project Budget'!$D48='W1'!$A$48,'W1'!K$48,IF('Pilot Project Budget'!$D48='W1'!$A$49,'W1'!K$49,IF('Pilot Project Budget'!$D48='W1'!$A$50,'W1'!K$50,IF('Pilot Project Budget'!$D48='W1'!$A$51,'W1'!K$51,IF('Pilot Project Budget'!$D48='W1'!$A$52,'W1'!K$52,IF('Pilot Project Budget'!$D48='W1'!$A$53,'W1'!K$53,IF('Pilot Project Budget'!$D48='W1'!$A$54,'W1'!K$54,IF('Pilot Project Budget'!$D48='W1'!$A$55,'W1'!K$55)))))))))),0))))))))</f>
        <v>0</v>
      </c>
      <c r="S48" s="187">
        <f t="shared" si="3"/>
        <v>0</v>
      </c>
      <c r="T48" s="248"/>
      <c r="U48" s="248"/>
      <c r="V48" s="248"/>
      <c r="W48" s="248"/>
      <c r="X48" s="248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idden="1" x14ac:dyDescent="0.2">
      <c r="A49" s="92">
        <v>14</v>
      </c>
      <c r="B49" s="381">
        <f t="shared" si="2"/>
        <v>0</v>
      </c>
      <c r="C49" s="382"/>
      <c r="D49" s="199" t="s">
        <v>52</v>
      </c>
      <c r="E49" s="226" t="str">
        <f>IF($D49='W1'!$A$59,'W1'!B$59,IF($D49='W1'!$A$60,'W1'!B$60,IF($D49='W1'!$A$61,'W1'!B$61,IF($D49='W1'!$A$62,'W1'!B$62,IF($D49='W1'!$A$63,'W1'!B$63,IF($D49='W1'!$A$64,'W1'!B$64,IF($D49='W1'!$A$65,'W1'!B$65,IF($D49='W1'!$A$66,'W1'!B$66,IF($D49='W1'!$A$67,'W1'!B$67,IF($D49='W1'!$A$68,'W1'!B288,IF($D49='W1'!$A$69,'W1'!B288,IF($D49='W1'!$A$70,'W1'!B288,IF($D49='W1'!$A$71,"")))))))))))))</f>
        <v/>
      </c>
      <c r="F49" s="378" t="str">
        <f>IF($D49='W1'!$A$59,'W1'!C$59,IF($D49='W1'!$A$60,'W1'!C$60,IF($D49='W1'!$A$61,'W1'!C$61,IF($D49='W1'!$A$62,'W1'!C$62,IF($D49='W1'!$A$63,'W1'!C$63,IF($D49='W1'!$A$64,'W1'!C$64,IF($D49='W1'!$A$65,'W1'!C$65,IF($D49='W1'!$A$66,'W1'!C$66,IF($D49='W1'!$A$67,'W1'!C$67,IF($D49='W1'!$A$68,'W1'!D288,IF($D49='W1'!$A$69,'W1'!D288,IF($D49='W1'!$A$70,'W1'!D288,IF($D49='W1'!$A$71,"")))))))))))))</f>
        <v/>
      </c>
      <c r="G49" s="379"/>
      <c r="H49" s="366" t="str">
        <f>IF($D49='W1'!$A$59,'W1'!D$59,IF($D49='W1'!$A$60,'W1'!D$60,IF($D49='W1'!$A$61,'W1'!D$61,IF($D49='W1'!$A$62,'W1'!D$62,IF($D49='W1'!$A$63,'W1'!D$63,IF($D49='W1'!$A$64,'W1'!D$64,IF($D49='W1'!$A$65,'W1'!D$65,IF($D49='W1'!$A$66,'W1'!D$66,IF($D49='W1'!$A$67,'W1'!D$67,IF($D49='W1'!$A$68,'W1'!F288,IF($D49='W1'!$A$69,'W1'!F288,IF($D49='W1'!$A$70,'W1'!F288,IF($D49='W1'!$A$71,"")))))))))))))</f>
        <v/>
      </c>
      <c r="I49" s="367"/>
      <c r="J49" s="366" t="str">
        <f>IF($D49='W1'!$A$59,'W1'!E$59,IF($D49='W1'!$A$60,'W1'!E$60,IF($D49='W1'!$A$61,'W1'!E$61,IF($D49='W1'!$A$62,'W1'!E$62,IF($D49='W1'!$A$63,'W1'!E$63,IF($D49='W1'!$A$64,'W1'!E$64,IF($D49='W1'!$A$65,'W1'!E$65,IF($D49='W1'!$A$66,'W1'!E$66,IF($D49='W1'!$A$67,'W1'!E$67,IF($D49='W1'!$A$68,'W1'!H288,IF($D49='W1'!$A$69,'W1'!H288,IF($D49='W1'!$A$70,'W1'!H288,IF($D49='W1'!$A$71,"")))))))))))))</f>
        <v/>
      </c>
      <c r="K49" s="367"/>
      <c r="L49" s="366" t="str">
        <f>IF($D49='W1'!$A$59,'W1'!F$59,IF($D49='W1'!$A$60,'W1'!F$60,IF($D49='W1'!$A$61,'W1'!F$61,IF($D49='W1'!$A$62,'W1'!F$62,IF($D49='W1'!$A$63,'W1'!F$63,IF($D49='W1'!$A$64,'W1'!F$64,IF($D49='W1'!$A$65,'W1'!F$65,IF($D49='W1'!$A$66,'W1'!F$66,IF($D49='W1'!$A$67,'W1'!F$67,IF($D49='W1'!$A$68,'W1'!J288,IF($D49='W1'!$A$69,'W1'!J288,IF($D49='W1'!$A$70,'W1'!J288,IF($D49='W1'!$A$71,"")))))))))))))</f>
        <v/>
      </c>
      <c r="M49" s="367"/>
      <c r="N49" s="187">
        <f>IF(N21=0,0,IF(AND($D49="F-SMRA",N21=0),0,IF(AND($D49="F-SMRB",N21=0),0,IF(AND($D49="F-SMRC",N21=0),0,IF($D49='W1'!$A$68,'W1'!B314,IF($D49='W1'!$A$69,'W1'!B314,IF($D49='W1'!$A$70,'W1'!B314,ROUND(('Pilot Project Budget'!N21/'W1'!$C$5*'W1'!$C$9*(IF('Pilot Project Budget'!$D49='W1'!$A$47,'W1'!B$47,IF('Pilot Project Budget'!$D49='W1'!$A$48,'W1'!B$48,IF('Pilot Project Budget'!$D49='W1'!$A$49,'W1'!B$49,IF('Pilot Project Budget'!$D49='W1'!$A$50,'W1'!B$50,IF('Pilot Project Budget'!$D49='W1'!$A$51,'W1'!B$51,IF('Pilot Project Budget'!$D49='W1'!$A$52,'W1'!B$52,IF('Pilot Project Budget'!$D49='W1'!$A$53,'W1'!B$53,IF('Pilot Project Budget'!$D49='W1'!$A$54,'W1'!B$54,IF('Pilot Project Budget'!$D49='W1'!$A$55,'W1'!B$55))))))))))),0)+ROUND(N21/'W1'!$C$5*'W1'!$C$10*(IF('Pilot Project Budget'!$D49='W1'!$A$47,'W1'!C$47,IF('Pilot Project Budget'!$D49='W1'!$A$48,'W1'!C$48,IF('Pilot Project Budget'!$D49='W1'!$A$49,'W1'!C$49,IF('Pilot Project Budget'!$D49='W1'!$A$50,'W1'!C$50,IF('Pilot Project Budget'!$D49='W1'!$A$51,'W1'!C$51,IF('Pilot Project Budget'!$D49='W1'!$A$52,'W1'!C$52,IF('Pilot Project Budget'!$D49='W1'!$A$53,'W1'!C$53,IF('Pilot Project Budget'!$D49='W1'!$A$54,'W1'!C$54,IF('Pilot Project Budget'!$D49='W1'!$A$55,'W1'!C$55)))))))))),0))))))))</f>
        <v>0</v>
      </c>
      <c r="O49" s="187">
        <f>IF(O21=0,0,IF(AND($D49="F-SMRA",O21=0),0,IF(AND($D49="F-SMRB",O21=0),0,IF(AND($D49="F-SMRC",O21=0),0,IF($D49='W1'!$A$68,'W1'!D314,IF($D49='W1'!$A$69,'W1'!D314,IF($D49='W1'!$A$70,'W1'!D314,ROUND(('Pilot Project Budget'!O21/'W1'!$D$5*'W1'!$D$9*(IF('Pilot Project Budget'!$D49='W1'!$A$47,'W1'!D$47,IF('Pilot Project Budget'!$D49='W1'!$A$48,'W1'!D$48,IF('Pilot Project Budget'!$D49='W1'!$A$49,'W1'!D$49,IF('Pilot Project Budget'!$D49='W1'!$A$50,'W1'!D$50,IF('Pilot Project Budget'!$D49='W1'!$A$51,'W1'!D$51,IF('Pilot Project Budget'!$D49='W1'!$A$52,'W1'!D$52,IF('Pilot Project Budget'!$D49='W1'!$A$53,'W1'!D$53,IF('Pilot Project Budget'!$D49='W1'!$A$54,'W1'!D$54,IF('Pilot Project Budget'!$D49='W1'!$A$55,'W1'!D$55))))))))))),0)+ROUND(O21/'W1'!$D$5*'W1'!$D$10*(IF('Pilot Project Budget'!$D49='W1'!$A$47,'W1'!E$47,IF('Pilot Project Budget'!$D49='W1'!$A$48,'W1'!E$48,IF('Pilot Project Budget'!$D49='W1'!$A$49,'W1'!E$49,IF('Pilot Project Budget'!$D49='W1'!$A$50,'W1'!E$50,IF('Pilot Project Budget'!$D49='W1'!$A$51,'W1'!E$51,IF('Pilot Project Budget'!$D49='W1'!$A$52,'W1'!E$52,IF('Pilot Project Budget'!$D49='W1'!$A$53,'W1'!E$53,IF('Pilot Project Budget'!$D49='W1'!$A$54,'W1'!E$54,IF('Pilot Project Budget'!$D49='W1'!$A$55,'W1'!E$55)))))))))),0))))))))</f>
        <v>0</v>
      </c>
      <c r="P49" s="187">
        <f>IF(P21=0,0,IF(AND($D49="F-SMRA",P21=0),0,IF(AND($D49="F-SMRB",P21=0),0,IF(AND($D49="F-SMRC",P21=0),0,IF($D49='W1'!$A$68,'W1'!F314,IF($D49='W1'!$A$69,'W1'!F314,IF($D49='W1'!$A$70,'W1'!F314,ROUND(('Pilot Project Budget'!P21/'W1'!$E$5*'W1'!$E$9*(IF('Pilot Project Budget'!$D49='W1'!$A$47,'W1'!F$47,IF('Pilot Project Budget'!$D49='W1'!$A$48,'W1'!F$48,IF('Pilot Project Budget'!$D49='W1'!$A$49,'W1'!F$49,IF('Pilot Project Budget'!$D49='W1'!$A$50,'W1'!F$50,IF('Pilot Project Budget'!$D49='W1'!$A$51,'W1'!F$51,IF('Pilot Project Budget'!$D49='W1'!$A$52,'W1'!F$52,IF('Pilot Project Budget'!$D49='W1'!$A$53,'W1'!F$53,IF('Pilot Project Budget'!$D49='W1'!$A$54,'W1'!F$54,IF('Pilot Project Budget'!$D49='W1'!$A$55,'W1'!F$55))))))))))),0)+ROUND(P21/'W1'!$E$5*'W1'!$E$10*(IF('Pilot Project Budget'!$D49='W1'!$A$47,'W1'!G$47,IF('Pilot Project Budget'!$D49='W1'!$A$48,'W1'!G$48,IF('Pilot Project Budget'!$D49='W1'!$A$49,'W1'!G$49,IF('Pilot Project Budget'!$D49='W1'!$A$50,'W1'!G$50,IF('Pilot Project Budget'!$D49='W1'!$A$51,'W1'!G$51,IF('Pilot Project Budget'!$D49='W1'!$A$52,'W1'!G$52,IF('Pilot Project Budget'!$D49='W1'!$A$53,'W1'!G$53,IF('Pilot Project Budget'!$D49='W1'!$A$54,'W1'!G$54,IF('Pilot Project Budget'!$D49='W1'!$A$55,'W1'!G$55)))))))))),0))))))))</f>
        <v>0</v>
      </c>
      <c r="Q49" s="187">
        <f>IF(Q21=0,0,IF(AND($D49="F-SMRA",Q21=0),0,IF(AND($D49="F-SMRB",Q21=0),0,IF(AND($D49="F-SMRC",Q21=0),0,IF($D49='W1'!$A$68,'W1'!H314,IF($D49='W1'!$A$69,'W1'!H314,IF($D49='W1'!$A$70,'W1'!H314,ROUND(('Pilot Project Budget'!Q21/'W1'!$F$5*'W1'!$F$9*(IF('Pilot Project Budget'!$D49='W1'!$A$47,'W1'!H$47,IF('Pilot Project Budget'!$D49='W1'!$A$48,'W1'!H$48,IF('Pilot Project Budget'!$D49='W1'!$A$49,'W1'!H$49,IF('Pilot Project Budget'!$D49='W1'!$A$50,'W1'!H$50,IF('Pilot Project Budget'!$D49='W1'!$A$51,'W1'!H$51,IF('Pilot Project Budget'!$D49='W1'!$A$52,'W1'!H$52,IF('Pilot Project Budget'!$D49='W1'!$A$53,'W1'!H$53,IF('Pilot Project Budget'!$D49='W1'!$A$54,'W1'!H$54,IF('Pilot Project Budget'!$D49='W1'!$A$55,'W1'!H$55))))))))))),0)+ROUND(Q21/'W1'!$F$5*'W1'!$F$10*(IF('Pilot Project Budget'!$D49='W1'!$A$47,'W1'!I$47,IF('Pilot Project Budget'!$D49='W1'!$A$48,'W1'!I$48,IF('Pilot Project Budget'!$D49='W1'!$A$49,'W1'!I$49,IF('Pilot Project Budget'!$D49='W1'!$A$50,'W1'!I$50,IF('Pilot Project Budget'!$D49='W1'!$A$51,'W1'!I$51,IF('Pilot Project Budget'!$D49='W1'!$A$52,'W1'!I$52,IF('Pilot Project Budget'!$D49='W1'!$A$53,'W1'!I$53,IF('Pilot Project Budget'!$D49='W1'!$A$54,'W1'!I$54,IF('Pilot Project Budget'!$D49='W1'!$A$55,'W1'!I$55)))))))))),0))))))))</f>
        <v>0</v>
      </c>
      <c r="R49" s="187">
        <f>IF(R21=0,0,IF(AND($D49="F-SMRA",R21=0),0,IF(AND($D49="F-SMRB",R21=0),0,IF(AND($D49="F-SMRC",R21=0),0,IF($D49='W1'!$A$68,'W1'!J314,IF($D49='W1'!$A$69,'W1'!J314,IF($D49='W1'!$A$70,'W1'!J314,ROUND(('Pilot Project Budget'!R21/'W1'!$G$5*'W1'!$G$9*(IF('Pilot Project Budget'!$D49='W1'!$A$47,'W1'!J$47,IF('Pilot Project Budget'!$D49='W1'!$A$48,'W1'!J$48,IF('Pilot Project Budget'!$D49='W1'!$A$49,'W1'!J$49,IF('Pilot Project Budget'!$D49='W1'!$A$50,'W1'!J$50,IF('Pilot Project Budget'!$D49='W1'!$A$51,'W1'!J$51,IF('Pilot Project Budget'!$D49='W1'!$A$52,'W1'!J$52,IF('Pilot Project Budget'!$D49='W1'!$A$53,'W1'!J$53,IF('Pilot Project Budget'!$D49='W1'!$A$54,'W1'!J$54,IF('Pilot Project Budget'!$D49='W1'!$A$55,'W1'!J$55))))))))))),0)+ROUND(R21/'W1'!$G$5*'W1'!$G$10*(IF('Pilot Project Budget'!$D49='W1'!$A$47,'W1'!K$47,IF('Pilot Project Budget'!$D49='W1'!$A$48,'W1'!K$48,IF('Pilot Project Budget'!$D49='W1'!$A$49,'W1'!K$49,IF('Pilot Project Budget'!$D49='W1'!$A$50,'W1'!K$50,IF('Pilot Project Budget'!$D49='W1'!$A$51,'W1'!K$51,IF('Pilot Project Budget'!$D49='W1'!$A$52,'W1'!K$52,IF('Pilot Project Budget'!$D49='W1'!$A$53,'W1'!K$53,IF('Pilot Project Budget'!$D49='W1'!$A$54,'W1'!K$54,IF('Pilot Project Budget'!$D49='W1'!$A$55,'W1'!K$55)))))))))),0))))))))</f>
        <v>0</v>
      </c>
      <c r="S49" s="187">
        <f t="shared" si="3"/>
        <v>0</v>
      </c>
      <c r="T49" s="248"/>
      <c r="U49" s="248"/>
      <c r="V49" s="248"/>
      <c r="W49" s="248"/>
      <c r="X49" s="248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idden="1" x14ac:dyDescent="0.2">
      <c r="A50" s="92">
        <v>15</v>
      </c>
      <c r="B50" s="381">
        <f t="shared" si="2"/>
        <v>0</v>
      </c>
      <c r="C50" s="382"/>
      <c r="D50" s="199" t="s">
        <v>52</v>
      </c>
      <c r="E50" s="226" t="str">
        <f>IF($D50='W1'!$A$59,'W1'!B$59,IF($D50='W1'!$A$60,'W1'!B$60,IF($D50='W1'!$A$61,'W1'!B$61,IF($D50='W1'!$A$62,'W1'!B$62,IF($D50='W1'!$A$63,'W1'!B$63,IF($D50='W1'!$A$64,'W1'!B$64,IF($D50='W1'!$A$65,'W1'!B$65,IF($D50='W1'!$A$66,'W1'!B$66,IF($D50='W1'!$A$67,'W1'!B$67,IF($D50='W1'!$A$68,'W1'!B289,IF($D50='W1'!$A$69,'W1'!B289,IF($D50='W1'!$A$70,'W1'!B289,IF($D50='W1'!$A$71,"")))))))))))))</f>
        <v/>
      </c>
      <c r="F50" s="378" t="str">
        <f>IF($D50='W1'!$A$59,'W1'!C$59,IF($D50='W1'!$A$60,'W1'!C$60,IF($D50='W1'!$A$61,'W1'!C$61,IF($D50='W1'!$A$62,'W1'!C$62,IF($D50='W1'!$A$63,'W1'!C$63,IF($D50='W1'!$A$64,'W1'!C$64,IF($D50='W1'!$A$65,'W1'!C$65,IF($D50='W1'!$A$66,'W1'!C$66,IF($D50='W1'!$A$67,'W1'!C$67,IF($D50='W1'!$A$68,'W1'!D289,IF($D50='W1'!$A$69,'W1'!D289,IF($D50='W1'!$A$70,'W1'!D289,IF($D50='W1'!$A$71,"")))))))))))))</f>
        <v/>
      </c>
      <c r="G50" s="379"/>
      <c r="H50" s="366" t="str">
        <f>IF($D50='W1'!$A$59,'W1'!D$59,IF($D50='W1'!$A$60,'W1'!D$60,IF($D50='W1'!$A$61,'W1'!D$61,IF($D50='W1'!$A$62,'W1'!D$62,IF($D50='W1'!$A$63,'W1'!D$63,IF($D50='W1'!$A$64,'W1'!D$64,IF($D50='W1'!$A$65,'W1'!D$65,IF($D50='W1'!$A$66,'W1'!D$66,IF($D50='W1'!$A$67,'W1'!D$67,IF($D50='W1'!$A$68,'W1'!F289,IF($D50='W1'!$A$69,'W1'!F289,IF($D50='W1'!$A$70,'W1'!F289,IF($D50='W1'!$A$71,"")))))))))))))</f>
        <v/>
      </c>
      <c r="I50" s="367"/>
      <c r="J50" s="366" t="str">
        <f>IF($D50='W1'!$A$59,'W1'!E$59,IF($D50='W1'!$A$60,'W1'!E$60,IF($D50='W1'!$A$61,'W1'!E$61,IF($D50='W1'!$A$62,'W1'!E$62,IF($D50='W1'!$A$63,'W1'!E$63,IF($D50='W1'!$A$64,'W1'!E$64,IF($D50='W1'!$A$65,'W1'!E$65,IF($D50='W1'!$A$66,'W1'!E$66,IF($D50='W1'!$A$67,'W1'!E$67,IF($D50='W1'!$A$68,'W1'!H289,IF($D50='W1'!$A$69,'W1'!H289,IF($D50='W1'!$A$70,'W1'!H289,IF($D50='W1'!$A$71,"")))))))))))))</f>
        <v/>
      </c>
      <c r="K50" s="367"/>
      <c r="L50" s="366" t="str">
        <f>IF($D50='W1'!$A$59,'W1'!F$59,IF($D50='W1'!$A$60,'W1'!F$60,IF($D50='W1'!$A$61,'W1'!F$61,IF($D50='W1'!$A$62,'W1'!F$62,IF($D50='W1'!$A$63,'W1'!F$63,IF($D50='W1'!$A$64,'W1'!F$64,IF($D50='W1'!$A$65,'W1'!F$65,IF($D50='W1'!$A$66,'W1'!F$66,IF($D50='W1'!$A$67,'W1'!F$67,IF($D50='W1'!$A$68,'W1'!J289,IF($D50='W1'!$A$69,'W1'!J289,IF($D50='W1'!$A$70,'W1'!J289,IF($D50='W1'!$A$71,"")))))))))))))</f>
        <v/>
      </c>
      <c r="M50" s="367"/>
      <c r="N50" s="187">
        <f>IF(N22=0,0,IF(AND($D50="F-SMRA",N22=0),0,IF(AND($D50="F-SMRB",N22=0),0,IF(AND($D50="F-SMRC",N22=0),0,IF($D50='W1'!$A$68,'W1'!B315,IF($D50='W1'!$A$69,'W1'!B315,IF($D50='W1'!$A$70,'W1'!B315,ROUND(('Pilot Project Budget'!N22/'W1'!$C$5*'W1'!$C$9*(IF('Pilot Project Budget'!$D50='W1'!$A$47,'W1'!B$47,IF('Pilot Project Budget'!$D50='W1'!$A$48,'W1'!B$48,IF('Pilot Project Budget'!$D50='W1'!$A$49,'W1'!B$49,IF('Pilot Project Budget'!$D50='W1'!$A$50,'W1'!B$50,IF('Pilot Project Budget'!$D50='W1'!$A$51,'W1'!B$51,IF('Pilot Project Budget'!$D50='W1'!$A$52,'W1'!B$52,IF('Pilot Project Budget'!$D50='W1'!$A$53,'W1'!B$53,IF('Pilot Project Budget'!$D50='W1'!$A$54,'W1'!B$54,IF('Pilot Project Budget'!$D50='W1'!$A$55,'W1'!B$55))))))))))),0)+ROUND(N22/'W1'!$C$5*'W1'!$C$10*(IF('Pilot Project Budget'!$D50='W1'!$A$47,'W1'!C$47,IF('Pilot Project Budget'!$D50='W1'!$A$48,'W1'!C$48,IF('Pilot Project Budget'!$D50='W1'!$A$49,'W1'!C$49,IF('Pilot Project Budget'!$D50='W1'!$A$50,'W1'!C$50,IF('Pilot Project Budget'!$D50='W1'!$A$51,'W1'!C$51,IF('Pilot Project Budget'!$D50='W1'!$A$52,'W1'!C$52,IF('Pilot Project Budget'!$D50='W1'!$A$53,'W1'!C$53,IF('Pilot Project Budget'!$D50='W1'!$A$54,'W1'!C$54,IF('Pilot Project Budget'!$D50='W1'!$A$55,'W1'!C$55)))))))))),0))))))))</f>
        <v>0</v>
      </c>
      <c r="O50" s="187">
        <f>IF(O22=0,0,IF(AND($D50="F-SMRA",O22=0),0,IF(AND($D50="F-SMRB",O22=0),0,IF(AND($D50="F-SMRC",O22=0),0,IF($D50='W1'!$A$68,'W1'!D315,IF($D50='W1'!$A$69,'W1'!D315,IF($D50='W1'!$A$70,'W1'!D315,ROUND(('Pilot Project Budget'!O22/'W1'!$D$5*'W1'!$D$9*(IF('Pilot Project Budget'!$D50='W1'!$A$47,'W1'!D$47,IF('Pilot Project Budget'!$D50='W1'!$A$48,'W1'!D$48,IF('Pilot Project Budget'!$D50='W1'!$A$49,'W1'!D$49,IF('Pilot Project Budget'!$D50='W1'!$A$50,'W1'!D$50,IF('Pilot Project Budget'!$D50='W1'!$A$51,'W1'!D$51,IF('Pilot Project Budget'!$D50='W1'!$A$52,'W1'!D$52,IF('Pilot Project Budget'!$D50='W1'!$A$53,'W1'!D$53,IF('Pilot Project Budget'!$D50='W1'!$A$54,'W1'!D$54,IF('Pilot Project Budget'!$D50='W1'!$A$55,'W1'!D$55))))))))))),0)+ROUND(O22/'W1'!$D$5*'W1'!$D$10*(IF('Pilot Project Budget'!$D50='W1'!$A$47,'W1'!E$47,IF('Pilot Project Budget'!$D50='W1'!$A$48,'W1'!E$48,IF('Pilot Project Budget'!$D50='W1'!$A$49,'W1'!E$49,IF('Pilot Project Budget'!$D50='W1'!$A$50,'W1'!E$50,IF('Pilot Project Budget'!$D50='W1'!$A$51,'W1'!E$51,IF('Pilot Project Budget'!$D50='W1'!$A$52,'W1'!E$52,IF('Pilot Project Budget'!$D50='W1'!$A$53,'W1'!E$53,IF('Pilot Project Budget'!$D50='W1'!$A$54,'W1'!E$54,IF('Pilot Project Budget'!$D50='W1'!$A$55,'W1'!E$55)))))))))),0))))))))</f>
        <v>0</v>
      </c>
      <c r="P50" s="187">
        <f>IF(P22=0,0,IF(AND($D50="F-SMRA",P22=0),0,IF(AND($D50="F-SMRB",P22=0),0,IF(AND($D50="F-SMRC",P22=0),0,IF($D50='W1'!$A$68,'W1'!F315,IF($D50='W1'!$A$69,'W1'!F315,IF($D50='W1'!$A$70,'W1'!F315,ROUND(('Pilot Project Budget'!P22/'W1'!$E$5*'W1'!$E$9*(IF('Pilot Project Budget'!$D50='W1'!$A$47,'W1'!F$47,IF('Pilot Project Budget'!$D50='W1'!$A$48,'W1'!F$48,IF('Pilot Project Budget'!$D50='W1'!$A$49,'W1'!F$49,IF('Pilot Project Budget'!$D50='W1'!$A$50,'W1'!F$50,IF('Pilot Project Budget'!$D50='W1'!$A$51,'W1'!F$51,IF('Pilot Project Budget'!$D50='W1'!$A$52,'W1'!F$52,IF('Pilot Project Budget'!$D50='W1'!$A$53,'W1'!F$53,IF('Pilot Project Budget'!$D50='W1'!$A$54,'W1'!F$54,IF('Pilot Project Budget'!$D50='W1'!$A$55,'W1'!F$55))))))))))),0)+ROUND(P22/'W1'!$E$5*'W1'!$E$10*(IF('Pilot Project Budget'!$D50='W1'!$A$47,'W1'!G$47,IF('Pilot Project Budget'!$D50='W1'!$A$48,'W1'!G$48,IF('Pilot Project Budget'!$D50='W1'!$A$49,'W1'!G$49,IF('Pilot Project Budget'!$D50='W1'!$A$50,'W1'!G$50,IF('Pilot Project Budget'!$D50='W1'!$A$51,'W1'!G$51,IF('Pilot Project Budget'!$D50='W1'!$A$52,'W1'!G$52,IF('Pilot Project Budget'!$D50='W1'!$A$53,'W1'!G$53,IF('Pilot Project Budget'!$D50='W1'!$A$54,'W1'!G$54,IF('Pilot Project Budget'!$D50='W1'!$A$55,'W1'!G$55)))))))))),0))))))))</f>
        <v>0</v>
      </c>
      <c r="Q50" s="187">
        <f>IF(Q22=0,0,IF(AND($D50="F-SMRA",Q22=0),0,IF(AND($D50="F-SMRB",Q22=0),0,IF(AND($D50="F-SMRC",Q22=0),0,IF($D50='W1'!$A$68,'W1'!H315,IF($D50='W1'!$A$69,'W1'!H315,IF($D50='W1'!$A$70,'W1'!H315,ROUND(('Pilot Project Budget'!Q22/'W1'!$F$5*'W1'!$F$9*(IF('Pilot Project Budget'!$D50='W1'!$A$47,'W1'!H$47,IF('Pilot Project Budget'!$D50='W1'!$A$48,'W1'!H$48,IF('Pilot Project Budget'!$D50='W1'!$A$49,'W1'!H$49,IF('Pilot Project Budget'!$D50='W1'!$A$50,'W1'!H$50,IF('Pilot Project Budget'!$D50='W1'!$A$51,'W1'!H$51,IF('Pilot Project Budget'!$D50='W1'!$A$52,'W1'!H$52,IF('Pilot Project Budget'!$D50='W1'!$A$53,'W1'!H$53,IF('Pilot Project Budget'!$D50='W1'!$A$54,'W1'!H$54,IF('Pilot Project Budget'!$D50='W1'!$A$55,'W1'!H$55))))))))))),0)+ROUND(Q22/'W1'!$F$5*'W1'!$F$10*(IF('Pilot Project Budget'!$D50='W1'!$A$47,'W1'!I$47,IF('Pilot Project Budget'!$D50='W1'!$A$48,'W1'!I$48,IF('Pilot Project Budget'!$D50='W1'!$A$49,'W1'!I$49,IF('Pilot Project Budget'!$D50='W1'!$A$50,'W1'!I$50,IF('Pilot Project Budget'!$D50='W1'!$A$51,'W1'!I$51,IF('Pilot Project Budget'!$D50='W1'!$A$52,'W1'!I$52,IF('Pilot Project Budget'!$D50='W1'!$A$53,'W1'!I$53,IF('Pilot Project Budget'!$D50='W1'!$A$54,'W1'!I$54,IF('Pilot Project Budget'!$D50='W1'!$A$55,'W1'!I$55)))))))))),0))))))))</f>
        <v>0</v>
      </c>
      <c r="R50" s="187">
        <f>IF(R22=0,0,IF(AND($D50="F-SMRA",R22=0),0,IF(AND($D50="F-SMRB",R22=0),0,IF(AND($D50="F-SMRC",R22=0),0,IF($D50='W1'!$A$68,'W1'!J315,IF($D50='W1'!$A$69,'W1'!J315,IF($D50='W1'!$A$70,'W1'!J315,ROUND(('Pilot Project Budget'!R22/'W1'!$G$5*'W1'!$G$9*(IF('Pilot Project Budget'!$D50='W1'!$A$47,'W1'!J$47,IF('Pilot Project Budget'!$D50='W1'!$A$48,'W1'!J$48,IF('Pilot Project Budget'!$D50='W1'!$A$49,'W1'!J$49,IF('Pilot Project Budget'!$D50='W1'!$A$50,'W1'!J$50,IF('Pilot Project Budget'!$D50='W1'!$A$51,'W1'!J$51,IF('Pilot Project Budget'!$D50='W1'!$A$52,'W1'!J$52,IF('Pilot Project Budget'!$D50='W1'!$A$53,'W1'!J$53,IF('Pilot Project Budget'!$D50='W1'!$A$54,'W1'!J$54,IF('Pilot Project Budget'!$D50='W1'!$A$55,'W1'!J$55))))))))))),0)+ROUND(R22/'W1'!$G$5*'W1'!$G$10*(IF('Pilot Project Budget'!$D50='W1'!$A$47,'W1'!K$47,IF('Pilot Project Budget'!$D50='W1'!$A$48,'W1'!K$48,IF('Pilot Project Budget'!$D50='W1'!$A$49,'W1'!K$49,IF('Pilot Project Budget'!$D50='W1'!$A$50,'W1'!K$50,IF('Pilot Project Budget'!$D50='W1'!$A$51,'W1'!K$51,IF('Pilot Project Budget'!$D50='W1'!$A$52,'W1'!K$52,IF('Pilot Project Budget'!$D50='W1'!$A$53,'W1'!K$53,IF('Pilot Project Budget'!$D50='W1'!$A$54,'W1'!K$54,IF('Pilot Project Budget'!$D50='W1'!$A$55,'W1'!K$55)))))))))),0))))))))</f>
        <v>0</v>
      </c>
      <c r="S50" s="187">
        <f t="shared" si="3"/>
        <v>0</v>
      </c>
      <c r="T50" s="248"/>
      <c r="U50" s="248"/>
      <c r="V50" s="248"/>
      <c r="W50" s="248"/>
      <c r="X50" s="248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</row>
    <row r="51" spans="1:51" hidden="1" x14ac:dyDescent="0.2">
      <c r="A51" s="92">
        <v>16</v>
      </c>
      <c r="B51" s="381">
        <f t="shared" si="2"/>
        <v>0</v>
      </c>
      <c r="C51" s="382"/>
      <c r="D51" s="199" t="s">
        <v>52</v>
      </c>
      <c r="E51" s="226" t="str">
        <f>IF($D51='W1'!$A$59,'W1'!B$59,IF($D51='W1'!$A$60,'W1'!B$60,IF($D51='W1'!$A$61,'W1'!B$61,IF($D51='W1'!$A$62,'W1'!B$62,IF($D51='W1'!$A$63,'W1'!B$63,IF($D51='W1'!$A$64,'W1'!B$64,IF($D51='W1'!$A$65,'W1'!B$65,IF($D51='W1'!$A$66,'W1'!B$66,IF($D51='W1'!$A$67,'W1'!B$67,IF($D51='W1'!$A$68,'W1'!B290,IF($D51='W1'!$A$69,'W1'!B290,IF($D51='W1'!$A$70,'W1'!B290,IF($D51='W1'!$A$71,"")))))))))))))</f>
        <v/>
      </c>
      <c r="F51" s="378" t="str">
        <f>IF($D51='W1'!$A$59,'W1'!C$59,IF($D51='W1'!$A$60,'W1'!C$60,IF($D51='W1'!$A$61,'W1'!C$61,IF($D51='W1'!$A$62,'W1'!C$62,IF($D51='W1'!$A$63,'W1'!C$63,IF($D51='W1'!$A$64,'W1'!C$64,IF($D51='W1'!$A$65,'W1'!C$65,IF($D51='W1'!$A$66,'W1'!C$66,IF($D51='W1'!$A$67,'W1'!C$67,IF($D51='W1'!$A$68,'W1'!D290,IF($D51='W1'!$A$69,'W1'!D290,IF($D51='W1'!$A$70,'W1'!D290,IF($D51='W1'!$A$71,"")))))))))))))</f>
        <v/>
      </c>
      <c r="G51" s="379"/>
      <c r="H51" s="366" t="str">
        <f>IF($D51='W1'!$A$59,'W1'!D$59,IF($D51='W1'!$A$60,'W1'!D$60,IF($D51='W1'!$A$61,'W1'!D$61,IF($D51='W1'!$A$62,'W1'!D$62,IF($D51='W1'!$A$63,'W1'!D$63,IF($D51='W1'!$A$64,'W1'!D$64,IF($D51='W1'!$A$65,'W1'!D$65,IF($D51='W1'!$A$66,'W1'!D$66,IF($D51='W1'!$A$67,'W1'!D$67,IF($D51='W1'!$A$68,'W1'!F290,IF($D51='W1'!$A$69,'W1'!F290,IF($D51='W1'!$A$70,'W1'!F290,IF($D51='W1'!$A$71,"")))))))))))))</f>
        <v/>
      </c>
      <c r="I51" s="367"/>
      <c r="J51" s="366" t="str">
        <f>IF($D51='W1'!$A$59,'W1'!E$59,IF($D51='W1'!$A$60,'W1'!E$60,IF($D51='W1'!$A$61,'W1'!E$61,IF($D51='W1'!$A$62,'W1'!E$62,IF($D51='W1'!$A$63,'W1'!E$63,IF($D51='W1'!$A$64,'W1'!E$64,IF($D51='W1'!$A$65,'W1'!E$65,IF($D51='W1'!$A$66,'W1'!E$66,IF($D51='W1'!$A$67,'W1'!E$67,IF($D51='W1'!$A$68,'W1'!H290,IF($D51='W1'!$A$69,'W1'!H290,IF($D51='W1'!$A$70,'W1'!H290,IF($D51='W1'!$A$71,"")))))))))))))</f>
        <v/>
      </c>
      <c r="K51" s="367"/>
      <c r="L51" s="366" t="str">
        <f>IF($D51='W1'!$A$59,'W1'!F$59,IF($D51='W1'!$A$60,'W1'!F$60,IF($D51='W1'!$A$61,'W1'!F$61,IF($D51='W1'!$A$62,'W1'!F$62,IF($D51='W1'!$A$63,'W1'!F$63,IF($D51='W1'!$A$64,'W1'!F$64,IF($D51='W1'!$A$65,'W1'!F$65,IF($D51='W1'!$A$66,'W1'!F$66,IF($D51='W1'!$A$67,'W1'!F$67,IF($D51='W1'!$A$68,'W1'!J290,IF($D51='W1'!$A$69,'W1'!J290,IF($D51='W1'!$A$70,'W1'!J290,IF($D51='W1'!$A$71,"")))))))))))))</f>
        <v/>
      </c>
      <c r="M51" s="367"/>
      <c r="N51" s="187">
        <f>IF(N23=0,0,IF(AND($D51="F-SMRA",N23=0),0,IF(AND($D51="F-SMRB",N23=0),0,IF(AND($D51="F-SMRC",N23=0),0,IF($D51='W1'!$A$68,'W1'!B316,IF($D51='W1'!$A$69,'W1'!B316,IF($D51='W1'!$A$70,'W1'!B316,ROUND(('Pilot Project Budget'!N23/'W1'!$C$5*'W1'!$C$9*(IF('Pilot Project Budget'!$D51='W1'!$A$47,'W1'!B$47,IF('Pilot Project Budget'!$D51='W1'!$A$48,'W1'!B$48,IF('Pilot Project Budget'!$D51='W1'!$A$49,'W1'!B$49,IF('Pilot Project Budget'!$D51='W1'!$A$50,'W1'!B$50,IF('Pilot Project Budget'!$D51='W1'!$A$51,'W1'!B$51,IF('Pilot Project Budget'!$D51='W1'!$A$52,'W1'!B$52,IF('Pilot Project Budget'!$D51='W1'!$A$53,'W1'!B$53,IF('Pilot Project Budget'!$D51='W1'!$A$54,'W1'!B$54,IF('Pilot Project Budget'!$D51='W1'!$A$55,'W1'!B$55))))))))))),0)+ROUND(N23/'W1'!$C$5*'W1'!$C$10*(IF('Pilot Project Budget'!$D51='W1'!$A$47,'W1'!C$47,IF('Pilot Project Budget'!$D51='W1'!$A$48,'W1'!C$48,IF('Pilot Project Budget'!$D51='W1'!$A$49,'W1'!C$49,IF('Pilot Project Budget'!$D51='W1'!$A$50,'W1'!C$50,IF('Pilot Project Budget'!$D51='W1'!$A$51,'W1'!C$51,IF('Pilot Project Budget'!$D51='W1'!$A$52,'W1'!C$52,IF('Pilot Project Budget'!$D51='W1'!$A$53,'W1'!C$53,IF('Pilot Project Budget'!$D51='W1'!$A$54,'W1'!C$54,IF('Pilot Project Budget'!$D51='W1'!$A$55,'W1'!C$55)))))))))),0))))))))</f>
        <v>0</v>
      </c>
      <c r="O51" s="187">
        <f>IF(O23=0,0,IF(AND($D51="F-SMRA",O23=0),0,IF(AND($D51="F-SMRB",O23=0),0,IF(AND($D51="F-SMRC",O23=0),0,IF($D51='W1'!$A$68,'W1'!D316,IF($D51='W1'!$A$69,'W1'!D316,IF($D51='W1'!$A$70,'W1'!D316,ROUND(('Pilot Project Budget'!O23/'W1'!$D$5*'W1'!$D$9*(IF('Pilot Project Budget'!$D51='W1'!$A$47,'W1'!D$47,IF('Pilot Project Budget'!$D51='W1'!$A$48,'W1'!D$48,IF('Pilot Project Budget'!$D51='W1'!$A$49,'W1'!D$49,IF('Pilot Project Budget'!$D51='W1'!$A$50,'W1'!D$50,IF('Pilot Project Budget'!$D51='W1'!$A$51,'W1'!D$51,IF('Pilot Project Budget'!$D51='W1'!$A$52,'W1'!D$52,IF('Pilot Project Budget'!$D51='W1'!$A$53,'W1'!D$53,IF('Pilot Project Budget'!$D51='W1'!$A$54,'W1'!D$54,IF('Pilot Project Budget'!$D51='W1'!$A$55,'W1'!D$55))))))))))),0)+ROUND(O23/'W1'!$D$5*'W1'!$D$10*(IF('Pilot Project Budget'!$D51='W1'!$A$47,'W1'!E$47,IF('Pilot Project Budget'!$D51='W1'!$A$48,'W1'!E$48,IF('Pilot Project Budget'!$D51='W1'!$A$49,'W1'!E$49,IF('Pilot Project Budget'!$D51='W1'!$A$50,'W1'!E$50,IF('Pilot Project Budget'!$D51='W1'!$A$51,'W1'!E$51,IF('Pilot Project Budget'!$D51='W1'!$A$52,'W1'!E$52,IF('Pilot Project Budget'!$D51='W1'!$A$53,'W1'!E$53,IF('Pilot Project Budget'!$D51='W1'!$A$54,'W1'!E$54,IF('Pilot Project Budget'!$D51='W1'!$A$55,'W1'!E$55)))))))))),0))))))))</f>
        <v>0</v>
      </c>
      <c r="P51" s="187">
        <f>IF(P23=0,0,IF(AND($D51="F-SMRA",P23=0),0,IF(AND($D51="F-SMRB",P23=0),0,IF(AND($D51="F-SMRC",P23=0),0,IF($D51='W1'!$A$68,'W1'!F316,IF($D51='W1'!$A$69,'W1'!F316,IF($D51='W1'!$A$70,'W1'!F316,ROUND(('Pilot Project Budget'!P23/'W1'!$E$5*'W1'!$E$9*(IF('Pilot Project Budget'!$D51='W1'!$A$47,'W1'!F$47,IF('Pilot Project Budget'!$D51='W1'!$A$48,'W1'!F$48,IF('Pilot Project Budget'!$D51='W1'!$A$49,'W1'!F$49,IF('Pilot Project Budget'!$D51='W1'!$A$50,'W1'!F$50,IF('Pilot Project Budget'!$D51='W1'!$A$51,'W1'!F$51,IF('Pilot Project Budget'!$D51='W1'!$A$52,'W1'!F$52,IF('Pilot Project Budget'!$D51='W1'!$A$53,'W1'!F$53,IF('Pilot Project Budget'!$D51='W1'!$A$54,'W1'!F$54,IF('Pilot Project Budget'!$D51='W1'!$A$55,'W1'!F$55))))))))))),0)+ROUND(P23/'W1'!$E$5*'W1'!$E$10*(IF('Pilot Project Budget'!$D51='W1'!$A$47,'W1'!G$47,IF('Pilot Project Budget'!$D51='W1'!$A$48,'W1'!G$48,IF('Pilot Project Budget'!$D51='W1'!$A$49,'W1'!G$49,IF('Pilot Project Budget'!$D51='W1'!$A$50,'W1'!G$50,IF('Pilot Project Budget'!$D51='W1'!$A$51,'W1'!G$51,IF('Pilot Project Budget'!$D51='W1'!$A$52,'W1'!G$52,IF('Pilot Project Budget'!$D51='W1'!$A$53,'W1'!G$53,IF('Pilot Project Budget'!$D51='W1'!$A$54,'W1'!G$54,IF('Pilot Project Budget'!$D51='W1'!$A$55,'W1'!G$55)))))))))),0))))))))</f>
        <v>0</v>
      </c>
      <c r="Q51" s="187">
        <f>IF(Q23=0,0,IF(AND($D51="F-SMRA",Q23=0),0,IF(AND($D51="F-SMRB",Q23=0),0,IF(AND($D51="F-SMRC",Q23=0),0,IF($D51='W1'!$A$68,'W1'!H316,IF($D51='W1'!$A$69,'W1'!H316,IF($D51='W1'!$A$70,'W1'!H316,ROUND(('Pilot Project Budget'!Q23/'W1'!$F$5*'W1'!$F$9*(IF('Pilot Project Budget'!$D51='W1'!$A$47,'W1'!H$47,IF('Pilot Project Budget'!$D51='W1'!$A$48,'W1'!H$48,IF('Pilot Project Budget'!$D51='W1'!$A$49,'W1'!H$49,IF('Pilot Project Budget'!$D51='W1'!$A$50,'W1'!H$50,IF('Pilot Project Budget'!$D51='W1'!$A$51,'W1'!H$51,IF('Pilot Project Budget'!$D51='W1'!$A$52,'W1'!H$52,IF('Pilot Project Budget'!$D51='W1'!$A$53,'W1'!H$53,IF('Pilot Project Budget'!$D51='W1'!$A$54,'W1'!H$54,IF('Pilot Project Budget'!$D51='W1'!$A$55,'W1'!H$55))))))))))),0)+ROUND(Q23/'W1'!$F$5*'W1'!$F$10*(IF('Pilot Project Budget'!$D51='W1'!$A$47,'W1'!I$47,IF('Pilot Project Budget'!$D51='W1'!$A$48,'W1'!I$48,IF('Pilot Project Budget'!$D51='W1'!$A$49,'W1'!I$49,IF('Pilot Project Budget'!$D51='W1'!$A$50,'W1'!I$50,IF('Pilot Project Budget'!$D51='W1'!$A$51,'W1'!I$51,IF('Pilot Project Budget'!$D51='W1'!$A$52,'W1'!I$52,IF('Pilot Project Budget'!$D51='W1'!$A$53,'W1'!I$53,IF('Pilot Project Budget'!$D51='W1'!$A$54,'W1'!I$54,IF('Pilot Project Budget'!$D51='W1'!$A$55,'W1'!I$55)))))))))),0))))))))</f>
        <v>0</v>
      </c>
      <c r="R51" s="187">
        <f>IF(R23=0,0,IF(AND($D51="F-SMRA",R23=0),0,IF(AND($D51="F-SMRB",R23=0),0,IF(AND($D51="F-SMRC",R23=0),0,IF($D51='W1'!$A$68,'W1'!J316,IF($D51='W1'!$A$69,'W1'!J316,IF($D51='W1'!$A$70,'W1'!J316,ROUND(('Pilot Project Budget'!R23/'W1'!$G$5*'W1'!$G$9*(IF('Pilot Project Budget'!$D51='W1'!$A$47,'W1'!J$47,IF('Pilot Project Budget'!$D51='W1'!$A$48,'W1'!J$48,IF('Pilot Project Budget'!$D51='W1'!$A$49,'W1'!J$49,IF('Pilot Project Budget'!$D51='W1'!$A$50,'W1'!J$50,IF('Pilot Project Budget'!$D51='W1'!$A$51,'W1'!J$51,IF('Pilot Project Budget'!$D51='W1'!$A$52,'W1'!J$52,IF('Pilot Project Budget'!$D51='W1'!$A$53,'W1'!J$53,IF('Pilot Project Budget'!$D51='W1'!$A$54,'W1'!J$54,IF('Pilot Project Budget'!$D51='W1'!$A$55,'W1'!J$55))))))))))),0)+ROUND(R23/'W1'!$G$5*'W1'!$G$10*(IF('Pilot Project Budget'!$D51='W1'!$A$47,'W1'!K$47,IF('Pilot Project Budget'!$D51='W1'!$A$48,'W1'!K$48,IF('Pilot Project Budget'!$D51='W1'!$A$49,'W1'!K$49,IF('Pilot Project Budget'!$D51='W1'!$A$50,'W1'!K$50,IF('Pilot Project Budget'!$D51='W1'!$A$51,'W1'!K$51,IF('Pilot Project Budget'!$D51='W1'!$A$52,'W1'!K$52,IF('Pilot Project Budget'!$D51='W1'!$A$53,'W1'!K$53,IF('Pilot Project Budget'!$D51='W1'!$A$54,'W1'!K$54,IF('Pilot Project Budget'!$D51='W1'!$A$55,'W1'!K$55)))))))))),0))))))))</f>
        <v>0</v>
      </c>
      <c r="S51" s="187">
        <f t="shared" si="3"/>
        <v>0</v>
      </c>
      <c r="T51" s="248"/>
      <c r="U51" s="248"/>
      <c r="V51" s="248"/>
      <c r="W51" s="248"/>
      <c r="X51" s="248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</row>
    <row r="52" spans="1:51" hidden="1" x14ac:dyDescent="0.2">
      <c r="A52" s="92">
        <v>17</v>
      </c>
      <c r="B52" s="381">
        <f t="shared" si="2"/>
        <v>0</v>
      </c>
      <c r="C52" s="382"/>
      <c r="D52" s="199" t="s">
        <v>52</v>
      </c>
      <c r="E52" s="226" t="str">
        <f>IF($D52='W1'!$A$59,'W1'!B$59,IF($D52='W1'!$A$60,'W1'!B$60,IF($D52='W1'!$A$61,'W1'!B$61,IF($D52='W1'!$A$62,'W1'!B$62,IF($D52='W1'!$A$63,'W1'!B$63,IF($D52='W1'!$A$64,'W1'!B$64,IF($D52='W1'!$A$65,'W1'!B$65,IF($D52='W1'!$A$66,'W1'!B$66,IF($D52='W1'!$A$67,'W1'!B$67,IF($D52='W1'!$A$68,'W1'!B291,IF($D52='W1'!$A$69,'W1'!B291,IF($D52='W1'!$A$70,'W1'!B291,IF($D52='W1'!$A$71,"")))))))))))))</f>
        <v/>
      </c>
      <c r="F52" s="378" t="str">
        <f>IF($D52='W1'!$A$59,'W1'!C$59,IF($D52='W1'!$A$60,'W1'!C$60,IF($D52='W1'!$A$61,'W1'!C$61,IF($D52='W1'!$A$62,'W1'!C$62,IF($D52='W1'!$A$63,'W1'!C$63,IF($D52='W1'!$A$64,'W1'!C$64,IF($D52='W1'!$A$65,'W1'!C$65,IF($D52='W1'!$A$66,'W1'!C$66,IF($D52='W1'!$A$67,'W1'!C$67,IF($D52='W1'!$A$68,'W1'!D291,IF($D52='W1'!$A$69,'W1'!D291,IF($D52='W1'!$A$70,'W1'!D291,IF($D52='W1'!$A$71,"")))))))))))))</f>
        <v/>
      </c>
      <c r="G52" s="379"/>
      <c r="H52" s="366" t="str">
        <f>IF($D52='W1'!$A$59,'W1'!D$59,IF($D52='W1'!$A$60,'W1'!D$60,IF($D52='W1'!$A$61,'W1'!D$61,IF($D52='W1'!$A$62,'W1'!D$62,IF($D52='W1'!$A$63,'W1'!D$63,IF($D52='W1'!$A$64,'W1'!D$64,IF($D52='W1'!$A$65,'W1'!D$65,IF($D52='W1'!$A$66,'W1'!D$66,IF($D52='W1'!$A$67,'W1'!D$67,IF($D52='W1'!$A$68,'W1'!F291,IF($D52='W1'!$A$69,'W1'!F291,IF($D52='W1'!$A$70,'W1'!F291,IF($D52='W1'!$A$71,"")))))))))))))</f>
        <v/>
      </c>
      <c r="I52" s="367"/>
      <c r="J52" s="366" t="str">
        <f>IF($D52='W1'!$A$59,'W1'!E$59,IF($D52='W1'!$A$60,'W1'!E$60,IF($D52='W1'!$A$61,'W1'!E$61,IF($D52='W1'!$A$62,'W1'!E$62,IF($D52='W1'!$A$63,'W1'!E$63,IF($D52='W1'!$A$64,'W1'!E$64,IF($D52='W1'!$A$65,'W1'!E$65,IF($D52='W1'!$A$66,'W1'!E$66,IF($D52='W1'!$A$67,'W1'!E$67,IF($D52='W1'!$A$68,'W1'!H291,IF($D52='W1'!$A$69,'W1'!H291,IF($D52='W1'!$A$70,'W1'!H291,IF($D52='W1'!$A$71,"")))))))))))))</f>
        <v/>
      </c>
      <c r="K52" s="367"/>
      <c r="L52" s="366" t="str">
        <f>IF($D52='W1'!$A$59,'W1'!F$59,IF($D52='W1'!$A$60,'W1'!F$60,IF($D52='W1'!$A$61,'W1'!F$61,IF($D52='W1'!$A$62,'W1'!F$62,IF($D52='W1'!$A$63,'W1'!F$63,IF($D52='W1'!$A$64,'W1'!F$64,IF($D52='W1'!$A$65,'W1'!F$65,IF($D52='W1'!$A$66,'W1'!F$66,IF($D52='W1'!$A$67,'W1'!F$67,IF($D52='W1'!$A$68,'W1'!J291,IF($D52='W1'!$A$69,'W1'!J291,IF($D52='W1'!$A$70,'W1'!J291,IF($D52='W1'!$A$71,"")))))))))))))</f>
        <v/>
      </c>
      <c r="M52" s="367"/>
      <c r="N52" s="187">
        <f>IF(N24=0,0,IF(AND($D52="F-SMRA",N24=0),0,IF(AND($D52="F-SMRB",N24=0),0,IF(AND($D52="F-SMRC",N24=0),0,IF($D52='W1'!$A$68,'W1'!B317,IF($D52='W1'!$A$69,'W1'!B317,IF($D52='W1'!$A$70,'W1'!B317,ROUND(('Pilot Project Budget'!N24/'W1'!$C$5*'W1'!$C$9*(IF('Pilot Project Budget'!$D52='W1'!$A$47,'W1'!B$47,IF('Pilot Project Budget'!$D52='W1'!$A$48,'W1'!B$48,IF('Pilot Project Budget'!$D52='W1'!$A$49,'W1'!B$49,IF('Pilot Project Budget'!$D52='W1'!$A$50,'W1'!B$50,IF('Pilot Project Budget'!$D52='W1'!$A$51,'W1'!B$51,IF('Pilot Project Budget'!$D52='W1'!$A$52,'W1'!B$52,IF('Pilot Project Budget'!$D52='W1'!$A$53,'W1'!B$53,IF('Pilot Project Budget'!$D52='W1'!$A$54,'W1'!B$54,IF('Pilot Project Budget'!$D52='W1'!$A$55,'W1'!B$55))))))))))),0)+ROUND(N24/'W1'!$C$5*'W1'!$C$10*(IF('Pilot Project Budget'!$D52='W1'!$A$47,'W1'!C$47,IF('Pilot Project Budget'!$D52='W1'!$A$48,'W1'!C$48,IF('Pilot Project Budget'!$D52='W1'!$A$49,'W1'!C$49,IF('Pilot Project Budget'!$D52='W1'!$A$50,'W1'!C$50,IF('Pilot Project Budget'!$D52='W1'!$A$51,'W1'!C$51,IF('Pilot Project Budget'!$D52='W1'!$A$52,'W1'!C$52,IF('Pilot Project Budget'!$D52='W1'!$A$53,'W1'!C$53,IF('Pilot Project Budget'!$D52='W1'!$A$54,'W1'!C$54,IF('Pilot Project Budget'!$D52='W1'!$A$55,'W1'!C$55)))))))))),0))))))))</f>
        <v>0</v>
      </c>
      <c r="O52" s="187">
        <f>IF(O24=0,0,IF(AND($D52="F-SMRA",O24=0),0,IF(AND($D52="F-SMRB",O24=0),0,IF(AND($D52="F-SMRC",O24=0),0,IF($D52='W1'!$A$68,'W1'!D317,IF($D52='W1'!$A$69,'W1'!D317,IF($D52='W1'!$A$70,'W1'!D317,ROUND(('Pilot Project Budget'!O24/'W1'!$D$5*'W1'!$D$9*(IF('Pilot Project Budget'!$D52='W1'!$A$47,'W1'!D$47,IF('Pilot Project Budget'!$D52='W1'!$A$48,'W1'!D$48,IF('Pilot Project Budget'!$D52='W1'!$A$49,'W1'!D$49,IF('Pilot Project Budget'!$D52='W1'!$A$50,'W1'!D$50,IF('Pilot Project Budget'!$D52='W1'!$A$51,'W1'!D$51,IF('Pilot Project Budget'!$D52='W1'!$A$52,'W1'!D$52,IF('Pilot Project Budget'!$D52='W1'!$A$53,'W1'!D$53,IF('Pilot Project Budget'!$D52='W1'!$A$54,'W1'!D$54,IF('Pilot Project Budget'!$D52='W1'!$A$55,'W1'!D$55))))))))))),0)+ROUND(O24/'W1'!$D$5*'W1'!$D$10*(IF('Pilot Project Budget'!$D52='W1'!$A$47,'W1'!E$47,IF('Pilot Project Budget'!$D52='W1'!$A$48,'W1'!E$48,IF('Pilot Project Budget'!$D52='W1'!$A$49,'W1'!E$49,IF('Pilot Project Budget'!$D52='W1'!$A$50,'W1'!E$50,IF('Pilot Project Budget'!$D52='W1'!$A$51,'W1'!E$51,IF('Pilot Project Budget'!$D52='W1'!$A$52,'W1'!E$52,IF('Pilot Project Budget'!$D52='W1'!$A$53,'W1'!E$53,IF('Pilot Project Budget'!$D52='W1'!$A$54,'W1'!E$54,IF('Pilot Project Budget'!$D52='W1'!$A$55,'W1'!E$55)))))))))),0))))))))</f>
        <v>0</v>
      </c>
      <c r="P52" s="187">
        <f>IF(P24=0,0,IF(AND($D52="F-SMRA",P24=0),0,IF(AND($D52="F-SMRB",P24=0),0,IF(AND($D52="F-SMRC",P24=0),0,IF($D52='W1'!$A$68,'W1'!F317,IF($D52='W1'!$A$69,'W1'!F317,IF($D52='W1'!$A$70,'W1'!F317,ROUND(('Pilot Project Budget'!P24/'W1'!$E$5*'W1'!$E$9*(IF('Pilot Project Budget'!$D52='W1'!$A$47,'W1'!F$47,IF('Pilot Project Budget'!$D52='W1'!$A$48,'W1'!F$48,IF('Pilot Project Budget'!$D52='W1'!$A$49,'W1'!F$49,IF('Pilot Project Budget'!$D52='W1'!$A$50,'W1'!F$50,IF('Pilot Project Budget'!$D52='W1'!$A$51,'W1'!F$51,IF('Pilot Project Budget'!$D52='W1'!$A$52,'W1'!F$52,IF('Pilot Project Budget'!$D52='W1'!$A$53,'W1'!F$53,IF('Pilot Project Budget'!$D52='W1'!$A$54,'W1'!F$54,IF('Pilot Project Budget'!$D52='W1'!$A$55,'W1'!F$55))))))))))),0)+ROUND(P24/'W1'!$E$5*'W1'!$E$10*(IF('Pilot Project Budget'!$D52='W1'!$A$47,'W1'!G$47,IF('Pilot Project Budget'!$D52='W1'!$A$48,'W1'!G$48,IF('Pilot Project Budget'!$D52='W1'!$A$49,'W1'!G$49,IF('Pilot Project Budget'!$D52='W1'!$A$50,'W1'!G$50,IF('Pilot Project Budget'!$D52='W1'!$A$51,'W1'!G$51,IF('Pilot Project Budget'!$D52='W1'!$A$52,'W1'!G$52,IF('Pilot Project Budget'!$D52='W1'!$A$53,'W1'!G$53,IF('Pilot Project Budget'!$D52='W1'!$A$54,'W1'!G$54,IF('Pilot Project Budget'!$D52='W1'!$A$55,'W1'!G$55)))))))))),0))))))))</f>
        <v>0</v>
      </c>
      <c r="Q52" s="187">
        <f>IF(Q24=0,0,IF(AND($D52="F-SMRA",Q24=0),0,IF(AND($D52="F-SMRB",Q24=0),0,IF(AND($D52="F-SMRC",Q24=0),0,IF($D52='W1'!$A$68,'W1'!H317,IF($D52='W1'!$A$69,'W1'!H317,IF($D52='W1'!$A$70,'W1'!H317,ROUND(('Pilot Project Budget'!Q24/'W1'!$F$5*'W1'!$F$9*(IF('Pilot Project Budget'!$D52='W1'!$A$47,'W1'!H$47,IF('Pilot Project Budget'!$D52='W1'!$A$48,'W1'!H$48,IF('Pilot Project Budget'!$D52='W1'!$A$49,'W1'!H$49,IF('Pilot Project Budget'!$D52='W1'!$A$50,'W1'!H$50,IF('Pilot Project Budget'!$D52='W1'!$A$51,'W1'!H$51,IF('Pilot Project Budget'!$D52='W1'!$A$52,'W1'!H$52,IF('Pilot Project Budget'!$D52='W1'!$A$53,'W1'!H$53,IF('Pilot Project Budget'!$D52='W1'!$A$54,'W1'!H$54,IF('Pilot Project Budget'!$D52='W1'!$A$55,'W1'!H$55))))))))))),0)+ROUND(Q24/'W1'!$F$5*'W1'!$F$10*(IF('Pilot Project Budget'!$D52='W1'!$A$47,'W1'!I$47,IF('Pilot Project Budget'!$D52='W1'!$A$48,'W1'!I$48,IF('Pilot Project Budget'!$D52='W1'!$A$49,'W1'!I$49,IF('Pilot Project Budget'!$D52='W1'!$A$50,'W1'!I$50,IF('Pilot Project Budget'!$D52='W1'!$A$51,'W1'!I$51,IF('Pilot Project Budget'!$D52='W1'!$A$52,'W1'!I$52,IF('Pilot Project Budget'!$D52='W1'!$A$53,'W1'!I$53,IF('Pilot Project Budget'!$D52='W1'!$A$54,'W1'!I$54,IF('Pilot Project Budget'!$D52='W1'!$A$55,'W1'!I$55)))))))))),0))))))))</f>
        <v>0</v>
      </c>
      <c r="R52" s="187">
        <f>IF(R24=0,0,IF(AND($D52="F-SMRA",R24=0),0,IF(AND($D52="F-SMRB",R24=0),0,IF(AND($D52="F-SMRC",R24=0),0,IF($D52='W1'!$A$68,'W1'!J317,IF($D52='W1'!$A$69,'W1'!J317,IF($D52='W1'!$A$70,'W1'!J317,ROUND(('Pilot Project Budget'!R24/'W1'!$G$5*'W1'!$G$9*(IF('Pilot Project Budget'!$D52='W1'!$A$47,'W1'!J$47,IF('Pilot Project Budget'!$D52='W1'!$A$48,'W1'!J$48,IF('Pilot Project Budget'!$D52='W1'!$A$49,'W1'!J$49,IF('Pilot Project Budget'!$D52='W1'!$A$50,'W1'!J$50,IF('Pilot Project Budget'!$D52='W1'!$A$51,'W1'!J$51,IF('Pilot Project Budget'!$D52='W1'!$A$52,'W1'!J$52,IF('Pilot Project Budget'!$D52='W1'!$A$53,'W1'!J$53,IF('Pilot Project Budget'!$D52='W1'!$A$54,'W1'!J$54,IF('Pilot Project Budget'!$D52='W1'!$A$55,'W1'!J$55))))))))))),0)+ROUND(R24/'W1'!$G$5*'W1'!$G$10*(IF('Pilot Project Budget'!$D52='W1'!$A$47,'W1'!K$47,IF('Pilot Project Budget'!$D52='W1'!$A$48,'W1'!K$48,IF('Pilot Project Budget'!$D52='W1'!$A$49,'W1'!K$49,IF('Pilot Project Budget'!$D52='W1'!$A$50,'W1'!K$50,IF('Pilot Project Budget'!$D52='W1'!$A$51,'W1'!K$51,IF('Pilot Project Budget'!$D52='W1'!$A$52,'W1'!K$52,IF('Pilot Project Budget'!$D52='W1'!$A$53,'W1'!K$53,IF('Pilot Project Budget'!$D52='W1'!$A$54,'W1'!K$54,IF('Pilot Project Budget'!$D52='W1'!$A$55,'W1'!K$55)))))))))),0))))))))</f>
        <v>0</v>
      </c>
      <c r="S52" s="187">
        <f t="shared" si="3"/>
        <v>0</v>
      </c>
      <c r="T52" s="248"/>
      <c r="U52" s="248"/>
      <c r="V52" s="248"/>
      <c r="W52" s="248"/>
      <c r="X52" s="248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</row>
    <row r="53" spans="1:51" hidden="1" x14ac:dyDescent="0.2">
      <c r="A53" s="92">
        <v>18</v>
      </c>
      <c r="B53" s="381">
        <f t="shared" si="2"/>
        <v>0</v>
      </c>
      <c r="C53" s="382"/>
      <c r="D53" s="199" t="s">
        <v>52</v>
      </c>
      <c r="E53" s="226" t="str">
        <f>IF($D53='W1'!$A$59,'W1'!B$59,IF($D53='W1'!$A$60,'W1'!B$60,IF($D53='W1'!$A$61,'W1'!B$61,IF($D53='W1'!$A$62,'W1'!B$62,IF($D53='W1'!$A$63,'W1'!B$63,IF($D53='W1'!$A$64,'W1'!B$64,IF($D53='W1'!$A$65,'W1'!B$65,IF($D53='W1'!$A$66,'W1'!B$66,IF($D53='W1'!$A$67,'W1'!B$67,IF($D53='W1'!$A$68,'W1'!B292,IF($D53='W1'!$A$69,'W1'!B292,IF($D53='W1'!$A$70,'W1'!B292,IF($D53='W1'!$A$71,"")))))))))))))</f>
        <v/>
      </c>
      <c r="F53" s="378" t="str">
        <f>IF($D53='W1'!$A$59,'W1'!C$59,IF($D53='W1'!$A$60,'W1'!C$60,IF($D53='W1'!$A$61,'W1'!C$61,IF($D53='W1'!$A$62,'W1'!C$62,IF($D53='W1'!$A$63,'W1'!C$63,IF($D53='W1'!$A$64,'W1'!C$64,IF($D53='W1'!$A$65,'W1'!C$65,IF($D53='W1'!$A$66,'W1'!C$66,IF($D53='W1'!$A$67,'W1'!C$67,IF($D53='W1'!$A$68,'W1'!D292,IF($D53='W1'!$A$69,'W1'!D292,IF($D53='W1'!$A$70,'W1'!D292,IF($D53='W1'!$A$71,"")))))))))))))</f>
        <v/>
      </c>
      <c r="G53" s="379"/>
      <c r="H53" s="366" t="str">
        <f>IF($D53='W1'!$A$59,'W1'!D$59,IF($D53='W1'!$A$60,'W1'!D$60,IF($D53='W1'!$A$61,'W1'!D$61,IF($D53='W1'!$A$62,'W1'!D$62,IF($D53='W1'!$A$63,'W1'!D$63,IF($D53='W1'!$A$64,'W1'!D$64,IF($D53='W1'!$A$65,'W1'!D$65,IF($D53='W1'!$A$66,'W1'!D$66,IF($D53='W1'!$A$67,'W1'!D$67,IF($D53='W1'!$A$68,'W1'!F292,IF($D53='W1'!$A$69,'W1'!F292,IF($D53='W1'!$A$70,'W1'!F292,IF($D53='W1'!$A$71,"")))))))))))))</f>
        <v/>
      </c>
      <c r="I53" s="367"/>
      <c r="J53" s="366" t="str">
        <f>IF($D53='W1'!$A$59,'W1'!E$59,IF($D53='W1'!$A$60,'W1'!E$60,IF($D53='W1'!$A$61,'W1'!E$61,IF($D53='W1'!$A$62,'W1'!E$62,IF($D53='W1'!$A$63,'W1'!E$63,IF($D53='W1'!$A$64,'W1'!E$64,IF($D53='W1'!$A$65,'W1'!E$65,IF($D53='W1'!$A$66,'W1'!E$66,IF($D53='W1'!$A$67,'W1'!E$67,IF($D53='W1'!$A$68,'W1'!H292,IF($D53='W1'!$A$69,'W1'!H292,IF($D53='W1'!$A$70,'W1'!H292,IF($D53='W1'!$A$71,"")))))))))))))</f>
        <v/>
      </c>
      <c r="K53" s="367"/>
      <c r="L53" s="366" t="str">
        <f>IF($D53='W1'!$A$59,'W1'!F$59,IF($D53='W1'!$A$60,'W1'!F$60,IF($D53='W1'!$A$61,'W1'!F$61,IF($D53='W1'!$A$62,'W1'!F$62,IF($D53='W1'!$A$63,'W1'!F$63,IF($D53='W1'!$A$64,'W1'!F$64,IF($D53='W1'!$A$65,'W1'!F$65,IF($D53='W1'!$A$66,'W1'!F$66,IF($D53='W1'!$A$67,'W1'!F$67,IF($D53='W1'!$A$68,'W1'!J292,IF($D53='W1'!$A$69,'W1'!J292,IF($D53='W1'!$A$70,'W1'!J292,IF($D53='W1'!$A$71,"")))))))))))))</f>
        <v/>
      </c>
      <c r="M53" s="367"/>
      <c r="N53" s="187">
        <f>IF(N25=0,0,IF(AND($D53="F-SMRA",N25=0),0,IF(AND($D53="F-SMRB",N25=0),0,IF(AND($D53="F-SMRC",N25=0),0,IF($D53='W1'!$A$68,'W1'!B318,IF($D53='W1'!$A$69,'W1'!B318,IF($D53='W1'!$A$70,'W1'!B318,ROUND(('Pilot Project Budget'!N25/'W1'!$C$5*'W1'!$C$9*(IF('Pilot Project Budget'!$D53='W1'!$A$47,'W1'!B$47,IF('Pilot Project Budget'!$D53='W1'!$A$48,'W1'!B$48,IF('Pilot Project Budget'!$D53='W1'!$A$49,'W1'!B$49,IF('Pilot Project Budget'!$D53='W1'!$A$50,'W1'!B$50,IF('Pilot Project Budget'!$D53='W1'!$A$51,'W1'!B$51,IF('Pilot Project Budget'!$D53='W1'!$A$52,'W1'!B$52,IF('Pilot Project Budget'!$D53='W1'!$A$53,'W1'!B$53,IF('Pilot Project Budget'!$D53='W1'!$A$54,'W1'!B$54,IF('Pilot Project Budget'!$D53='W1'!$A$55,'W1'!B$55))))))))))),0)+ROUND(N25/'W1'!$C$5*'W1'!$C$10*(IF('Pilot Project Budget'!$D53='W1'!$A$47,'W1'!C$47,IF('Pilot Project Budget'!$D53='W1'!$A$48,'W1'!C$48,IF('Pilot Project Budget'!$D53='W1'!$A$49,'W1'!C$49,IF('Pilot Project Budget'!$D53='W1'!$A$50,'W1'!C$50,IF('Pilot Project Budget'!$D53='W1'!$A$51,'W1'!C$51,IF('Pilot Project Budget'!$D53='W1'!$A$52,'W1'!C$52,IF('Pilot Project Budget'!$D53='W1'!$A$53,'W1'!C$53,IF('Pilot Project Budget'!$D53='W1'!$A$54,'W1'!C$54,IF('Pilot Project Budget'!$D53='W1'!$A$55,'W1'!C$55)))))))))),0))))))))</f>
        <v>0</v>
      </c>
      <c r="O53" s="187">
        <f>IF(O25=0,0,IF(AND($D53="F-SMRA",O25=0),0,IF(AND($D53="F-SMRB",O25=0),0,IF(AND($D53="F-SMRC",O25=0),0,IF($D53='W1'!$A$68,'W1'!D318,IF($D53='W1'!$A$69,'W1'!D318,IF($D53='W1'!$A$70,'W1'!D318,ROUND(('Pilot Project Budget'!O25/'W1'!$D$5*'W1'!$D$9*(IF('Pilot Project Budget'!$D53='W1'!$A$47,'W1'!D$47,IF('Pilot Project Budget'!$D53='W1'!$A$48,'W1'!D$48,IF('Pilot Project Budget'!$D53='W1'!$A$49,'W1'!D$49,IF('Pilot Project Budget'!$D53='W1'!$A$50,'W1'!D$50,IF('Pilot Project Budget'!$D53='W1'!$A$51,'W1'!D$51,IF('Pilot Project Budget'!$D53='W1'!$A$52,'W1'!D$52,IF('Pilot Project Budget'!$D53='W1'!$A$53,'W1'!D$53,IF('Pilot Project Budget'!$D53='W1'!$A$54,'W1'!D$54,IF('Pilot Project Budget'!$D53='W1'!$A$55,'W1'!D$55))))))))))),0)+ROUND(O25/'W1'!$D$5*'W1'!$D$10*(IF('Pilot Project Budget'!$D53='W1'!$A$47,'W1'!E$47,IF('Pilot Project Budget'!$D53='W1'!$A$48,'W1'!E$48,IF('Pilot Project Budget'!$D53='W1'!$A$49,'W1'!E$49,IF('Pilot Project Budget'!$D53='W1'!$A$50,'W1'!E$50,IF('Pilot Project Budget'!$D53='W1'!$A$51,'W1'!E$51,IF('Pilot Project Budget'!$D53='W1'!$A$52,'W1'!E$52,IF('Pilot Project Budget'!$D53='W1'!$A$53,'W1'!E$53,IF('Pilot Project Budget'!$D53='W1'!$A$54,'W1'!E$54,IF('Pilot Project Budget'!$D53='W1'!$A$55,'W1'!E$55)))))))))),0))))))))</f>
        <v>0</v>
      </c>
      <c r="P53" s="187">
        <f>IF(P25=0,0,IF(AND($D53="F-SMRA",P25=0),0,IF(AND($D53="F-SMRB",P25=0),0,IF(AND($D53="F-SMRC",P25=0),0,IF($D53='W1'!$A$68,'W1'!F318,IF($D53='W1'!$A$69,'W1'!F318,IF($D53='W1'!$A$70,'W1'!F318,ROUND(('Pilot Project Budget'!P25/'W1'!$E$5*'W1'!$E$9*(IF('Pilot Project Budget'!$D53='W1'!$A$47,'W1'!F$47,IF('Pilot Project Budget'!$D53='W1'!$A$48,'W1'!F$48,IF('Pilot Project Budget'!$D53='W1'!$A$49,'W1'!F$49,IF('Pilot Project Budget'!$D53='W1'!$A$50,'W1'!F$50,IF('Pilot Project Budget'!$D53='W1'!$A$51,'W1'!F$51,IF('Pilot Project Budget'!$D53='W1'!$A$52,'W1'!F$52,IF('Pilot Project Budget'!$D53='W1'!$A$53,'W1'!F$53,IF('Pilot Project Budget'!$D53='W1'!$A$54,'W1'!F$54,IF('Pilot Project Budget'!$D53='W1'!$A$55,'W1'!F$55))))))))))),0)+ROUND(P25/'W1'!$E$5*'W1'!$E$10*(IF('Pilot Project Budget'!$D53='W1'!$A$47,'W1'!G$47,IF('Pilot Project Budget'!$D53='W1'!$A$48,'W1'!G$48,IF('Pilot Project Budget'!$D53='W1'!$A$49,'W1'!G$49,IF('Pilot Project Budget'!$D53='W1'!$A$50,'W1'!G$50,IF('Pilot Project Budget'!$D53='W1'!$A$51,'W1'!G$51,IF('Pilot Project Budget'!$D53='W1'!$A$52,'W1'!G$52,IF('Pilot Project Budget'!$D53='W1'!$A$53,'W1'!G$53,IF('Pilot Project Budget'!$D53='W1'!$A$54,'W1'!G$54,IF('Pilot Project Budget'!$D53='W1'!$A$55,'W1'!G$55)))))))))),0))))))))</f>
        <v>0</v>
      </c>
      <c r="Q53" s="187">
        <f>IF(Q25=0,0,IF(AND($D53="F-SMRA",Q25=0),0,IF(AND($D53="F-SMRB",Q25=0),0,IF(AND($D53="F-SMRC",Q25=0),0,IF($D53='W1'!$A$68,'W1'!H318,IF($D53='W1'!$A$69,'W1'!H318,IF($D53='W1'!$A$70,'W1'!H318,ROUND(('Pilot Project Budget'!Q25/'W1'!$F$5*'W1'!$F$9*(IF('Pilot Project Budget'!$D53='W1'!$A$47,'W1'!H$47,IF('Pilot Project Budget'!$D53='W1'!$A$48,'W1'!H$48,IF('Pilot Project Budget'!$D53='W1'!$A$49,'W1'!H$49,IF('Pilot Project Budget'!$D53='W1'!$A$50,'W1'!H$50,IF('Pilot Project Budget'!$D53='W1'!$A$51,'W1'!H$51,IF('Pilot Project Budget'!$D53='W1'!$A$52,'W1'!H$52,IF('Pilot Project Budget'!$D53='W1'!$A$53,'W1'!H$53,IF('Pilot Project Budget'!$D53='W1'!$A$54,'W1'!H$54,IF('Pilot Project Budget'!$D53='W1'!$A$55,'W1'!H$55))))))))))),0)+ROUND(Q25/'W1'!$F$5*'W1'!$F$10*(IF('Pilot Project Budget'!$D53='W1'!$A$47,'W1'!I$47,IF('Pilot Project Budget'!$D53='W1'!$A$48,'W1'!I$48,IF('Pilot Project Budget'!$D53='W1'!$A$49,'W1'!I$49,IF('Pilot Project Budget'!$D53='W1'!$A$50,'W1'!I$50,IF('Pilot Project Budget'!$D53='W1'!$A$51,'W1'!I$51,IF('Pilot Project Budget'!$D53='W1'!$A$52,'W1'!I$52,IF('Pilot Project Budget'!$D53='W1'!$A$53,'W1'!I$53,IF('Pilot Project Budget'!$D53='W1'!$A$54,'W1'!I$54,IF('Pilot Project Budget'!$D53='W1'!$A$55,'W1'!I$55)))))))))),0))))))))</f>
        <v>0</v>
      </c>
      <c r="R53" s="187">
        <f>IF(R25=0,0,IF(AND($D53="F-SMRA",R25=0),0,IF(AND($D53="F-SMRB",R25=0),0,IF(AND($D53="F-SMRC",R25=0),0,IF($D53='W1'!$A$68,'W1'!J318,IF($D53='W1'!$A$69,'W1'!J318,IF($D53='W1'!$A$70,'W1'!J318,ROUND(('Pilot Project Budget'!R25/'W1'!$G$5*'W1'!$G$9*(IF('Pilot Project Budget'!$D53='W1'!$A$47,'W1'!J$47,IF('Pilot Project Budget'!$D53='W1'!$A$48,'W1'!J$48,IF('Pilot Project Budget'!$D53='W1'!$A$49,'W1'!J$49,IF('Pilot Project Budget'!$D53='W1'!$A$50,'W1'!J$50,IF('Pilot Project Budget'!$D53='W1'!$A$51,'W1'!J$51,IF('Pilot Project Budget'!$D53='W1'!$A$52,'W1'!J$52,IF('Pilot Project Budget'!$D53='W1'!$A$53,'W1'!J$53,IF('Pilot Project Budget'!$D53='W1'!$A$54,'W1'!J$54,IF('Pilot Project Budget'!$D53='W1'!$A$55,'W1'!J$55))))))))))),0)+ROUND(R25/'W1'!$G$5*'W1'!$G$10*(IF('Pilot Project Budget'!$D53='W1'!$A$47,'W1'!K$47,IF('Pilot Project Budget'!$D53='W1'!$A$48,'W1'!K$48,IF('Pilot Project Budget'!$D53='W1'!$A$49,'W1'!K$49,IF('Pilot Project Budget'!$D53='W1'!$A$50,'W1'!K$50,IF('Pilot Project Budget'!$D53='W1'!$A$51,'W1'!K$51,IF('Pilot Project Budget'!$D53='W1'!$A$52,'W1'!K$52,IF('Pilot Project Budget'!$D53='W1'!$A$53,'W1'!K$53,IF('Pilot Project Budget'!$D53='W1'!$A$54,'W1'!K$54,IF('Pilot Project Budget'!$D53='W1'!$A$55,'W1'!K$55)))))))))),0))))))))</f>
        <v>0</v>
      </c>
      <c r="S53" s="187">
        <f t="shared" si="3"/>
        <v>0</v>
      </c>
      <c r="T53" s="248"/>
      <c r="U53" s="248"/>
      <c r="V53" s="248"/>
      <c r="W53" s="248"/>
      <c r="X53" s="248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</row>
    <row r="54" spans="1:51" hidden="1" x14ac:dyDescent="0.2">
      <c r="A54" s="92">
        <v>19</v>
      </c>
      <c r="B54" s="381">
        <f t="shared" si="2"/>
        <v>0</v>
      </c>
      <c r="C54" s="382"/>
      <c r="D54" s="199" t="s">
        <v>52</v>
      </c>
      <c r="E54" s="226" t="str">
        <f>IF($D54='W1'!$A$59,'W1'!B$59,IF($D54='W1'!$A$60,'W1'!B$60,IF($D54='W1'!$A$61,'W1'!B$61,IF($D54='W1'!$A$62,'W1'!B$62,IF($D54='W1'!$A$63,'W1'!B$63,IF($D54='W1'!$A$64,'W1'!B$64,IF($D54='W1'!$A$65,'W1'!B$65,IF($D54='W1'!$A$66,'W1'!B$66,IF($D54='W1'!$A$67,'W1'!B$67,IF($D54='W1'!$A$68,'W1'!B293,IF($D54='W1'!$A$69,'W1'!B293,IF($D54='W1'!$A$70,'W1'!B293,IF($D54='W1'!$A$71,"")))))))))))))</f>
        <v/>
      </c>
      <c r="F54" s="378" t="str">
        <f>IF($D54='W1'!$A$59,'W1'!C$59,IF($D54='W1'!$A$60,'W1'!C$60,IF($D54='W1'!$A$61,'W1'!C$61,IF($D54='W1'!$A$62,'W1'!C$62,IF($D54='W1'!$A$63,'W1'!C$63,IF($D54='W1'!$A$64,'W1'!C$64,IF($D54='W1'!$A$65,'W1'!C$65,IF($D54='W1'!$A$66,'W1'!C$66,IF($D54='W1'!$A$67,'W1'!C$67,IF($D54='W1'!$A$68,'W1'!D293,IF($D54='W1'!$A$69,'W1'!D293,IF($D54='W1'!$A$70,'W1'!D293,IF($D54='W1'!$A$71,"")))))))))))))</f>
        <v/>
      </c>
      <c r="G54" s="379"/>
      <c r="H54" s="366" t="str">
        <f>IF($D54='W1'!$A$59,'W1'!D$59,IF($D54='W1'!$A$60,'W1'!D$60,IF($D54='W1'!$A$61,'W1'!D$61,IF($D54='W1'!$A$62,'W1'!D$62,IF($D54='W1'!$A$63,'W1'!D$63,IF($D54='W1'!$A$64,'W1'!D$64,IF($D54='W1'!$A$65,'W1'!D$65,IF($D54='W1'!$A$66,'W1'!D$66,IF($D54='W1'!$A$67,'W1'!D$67,IF($D54='W1'!$A$68,'W1'!F293,IF($D54='W1'!$A$69,'W1'!F293,IF($D54='W1'!$A$70,'W1'!F293,IF($D54='W1'!$A$71,"")))))))))))))</f>
        <v/>
      </c>
      <c r="I54" s="367"/>
      <c r="J54" s="366" t="str">
        <f>IF($D54='W1'!$A$59,'W1'!E$59,IF($D54='W1'!$A$60,'W1'!E$60,IF($D54='W1'!$A$61,'W1'!E$61,IF($D54='W1'!$A$62,'W1'!E$62,IF($D54='W1'!$A$63,'W1'!E$63,IF($D54='W1'!$A$64,'W1'!E$64,IF($D54='W1'!$A$65,'W1'!E$65,IF($D54='W1'!$A$66,'W1'!E$66,IF($D54='W1'!$A$67,'W1'!E$67,IF($D54='W1'!$A$68,'W1'!H293,IF($D54='W1'!$A$69,'W1'!H293,IF($D54='W1'!$A$70,'W1'!H293,IF($D54='W1'!$A$71,"")))))))))))))</f>
        <v/>
      </c>
      <c r="K54" s="367"/>
      <c r="L54" s="366" t="str">
        <f>IF($D54='W1'!$A$59,'W1'!F$59,IF($D54='W1'!$A$60,'W1'!F$60,IF($D54='W1'!$A$61,'W1'!F$61,IF($D54='W1'!$A$62,'W1'!F$62,IF($D54='W1'!$A$63,'W1'!F$63,IF($D54='W1'!$A$64,'W1'!F$64,IF($D54='W1'!$A$65,'W1'!F$65,IF($D54='W1'!$A$66,'W1'!F$66,IF($D54='W1'!$A$67,'W1'!F$67,IF($D54='W1'!$A$68,'W1'!J293,IF($D54='W1'!$A$69,'W1'!J293,IF($D54='W1'!$A$70,'W1'!J293,IF($D54='W1'!$A$71,"")))))))))))))</f>
        <v/>
      </c>
      <c r="M54" s="367"/>
      <c r="N54" s="187">
        <f>IF(N26=0,0,IF(AND($D54="F-SMRA",N26=0),0,IF(AND($D54="F-SMRB",N26=0),0,IF(AND($D54="F-SMRC",N26=0),0,IF($D54='W1'!$A$68,'W1'!B319,IF($D54='W1'!$A$69,'W1'!B319,IF($D54='W1'!$A$70,'W1'!B319,ROUND(('Pilot Project Budget'!N26/'W1'!$C$5*'W1'!$C$9*(IF('Pilot Project Budget'!$D54='W1'!$A$47,'W1'!B$47,IF('Pilot Project Budget'!$D54='W1'!$A$48,'W1'!B$48,IF('Pilot Project Budget'!$D54='W1'!$A$49,'W1'!B$49,IF('Pilot Project Budget'!$D54='W1'!$A$50,'W1'!B$50,IF('Pilot Project Budget'!$D54='W1'!$A$51,'W1'!B$51,IF('Pilot Project Budget'!$D54='W1'!$A$52,'W1'!B$52,IF('Pilot Project Budget'!$D54='W1'!$A$53,'W1'!B$53,IF('Pilot Project Budget'!$D54='W1'!$A$54,'W1'!B$54,IF('Pilot Project Budget'!$D54='W1'!$A$55,'W1'!B$55))))))))))),0)+ROUND(N26/'W1'!$C$5*'W1'!$C$10*(IF('Pilot Project Budget'!$D54='W1'!$A$47,'W1'!C$47,IF('Pilot Project Budget'!$D54='W1'!$A$48,'W1'!C$48,IF('Pilot Project Budget'!$D54='W1'!$A$49,'W1'!C$49,IF('Pilot Project Budget'!$D54='W1'!$A$50,'W1'!C$50,IF('Pilot Project Budget'!$D54='W1'!$A$51,'W1'!C$51,IF('Pilot Project Budget'!$D54='W1'!$A$52,'W1'!C$52,IF('Pilot Project Budget'!$D54='W1'!$A$53,'W1'!C$53,IF('Pilot Project Budget'!$D54='W1'!$A$54,'W1'!C$54,IF('Pilot Project Budget'!$D54='W1'!$A$55,'W1'!C$55)))))))))),0))))))))</f>
        <v>0</v>
      </c>
      <c r="O54" s="187">
        <f>IF(O26=0,0,IF(AND($D54="F-SMRA",O26=0),0,IF(AND($D54="F-SMRB",O26=0),0,IF(AND($D54="F-SMRC",O26=0),0,IF($D54='W1'!$A$68,'W1'!D319,IF($D54='W1'!$A$69,'W1'!D319,IF($D54='W1'!$A$70,'W1'!D319,ROUND(('Pilot Project Budget'!O26/'W1'!$D$5*'W1'!$D$9*(IF('Pilot Project Budget'!$D54='W1'!$A$47,'W1'!D$47,IF('Pilot Project Budget'!$D54='W1'!$A$48,'W1'!D$48,IF('Pilot Project Budget'!$D54='W1'!$A$49,'W1'!D$49,IF('Pilot Project Budget'!$D54='W1'!$A$50,'W1'!D$50,IF('Pilot Project Budget'!$D54='W1'!$A$51,'W1'!D$51,IF('Pilot Project Budget'!$D54='W1'!$A$52,'W1'!D$52,IF('Pilot Project Budget'!$D54='W1'!$A$53,'W1'!D$53,IF('Pilot Project Budget'!$D54='W1'!$A$54,'W1'!D$54,IF('Pilot Project Budget'!$D54='W1'!$A$55,'W1'!D$55))))))))))),0)+ROUND(O26/'W1'!$D$5*'W1'!$D$10*(IF('Pilot Project Budget'!$D54='W1'!$A$47,'W1'!E$47,IF('Pilot Project Budget'!$D54='W1'!$A$48,'W1'!E$48,IF('Pilot Project Budget'!$D54='W1'!$A$49,'W1'!E$49,IF('Pilot Project Budget'!$D54='W1'!$A$50,'W1'!E$50,IF('Pilot Project Budget'!$D54='W1'!$A$51,'W1'!E$51,IF('Pilot Project Budget'!$D54='W1'!$A$52,'W1'!E$52,IF('Pilot Project Budget'!$D54='W1'!$A$53,'W1'!E$53,IF('Pilot Project Budget'!$D54='W1'!$A$54,'W1'!E$54,IF('Pilot Project Budget'!$D54='W1'!$A$55,'W1'!E$55)))))))))),0))))))))</f>
        <v>0</v>
      </c>
      <c r="P54" s="187">
        <f>IF(P26=0,0,IF(AND($D54="F-SMRA",P26=0),0,IF(AND($D54="F-SMRB",P26=0),0,IF(AND($D54="F-SMRC",P26=0),0,IF($D54='W1'!$A$68,'W1'!F319,IF($D54='W1'!$A$69,'W1'!F319,IF($D54='W1'!$A$70,'W1'!F319,ROUND(('Pilot Project Budget'!P26/'W1'!$E$5*'W1'!$E$9*(IF('Pilot Project Budget'!$D54='W1'!$A$47,'W1'!F$47,IF('Pilot Project Budget'!$D54='W1'!$A$48,'W1'!F$48,IF('Pilot Project Budget'!$D54='W1'!$A$49,'W1'!F$49,IF('Pilot Project Budget'!$D54='W1'!$A$50,'W1'!F$50,IF('Pilot Project Budget'!$D54='W1'!$A$51,'W1'!F$51,IF('Pilot Project Budget'!$D54='W1'!$A$52,'W1'!F$52,IF('Pilot Project Budget'!$D54='W1'!$A$53,'W1'!F$53,IF('Pilot Project Budget'!$D54='W1'!$A$54,'W1'!F$54,IF('Pilot Project Budget'!$D54='W1'!$A$55,'W1'!F$55))))))))))),0)+ROUND(P26/'W1'!$E$5*'W1'!$E$10*(IF('Pilot Project Budget'!$D54='W1'!$A$47,'W1'!G$47,IF('Pilot Project Budget'!$D54='W1'!$A$48,'W1'!G$48,IF('Pilot Project Budget'!$D54='W1'!$A$49,'W1'!G$49,IF('Pilot Project Budget'!$D54='W1'!$A$50,'W1'!G$50,IF('Pilot Project Budget'!$D54='W1'!$A$51,'W1'!G$51,IF('Pilot Project Budget'!$D54='W1'!$A$52,'W1'!G$52,IF('Pilot Project Budget'!$D54='W1'!$A$53,'W1'!G$53,IF('Pilot Project Budget'!$D54='W1'!$A$54,'W1'!G$54,IF('Pilot Project Budget'!$D54='W1'!$A$55,'W1'!G$55)))))))))),0))))))))</f>
        <v>0</v>
      </c>
      <c r="Q54" s="187">
        <f>IF(Q26=0,0,IF(AND($D54="F-SMRA",Q26=0),0,IF(AND($D54="F-SMRB",Q26=0),0,IF(AND($D54="F-SMRC",Q26=0),0,IF($D54='W1'!$A$68,'W1'!H319,IF($D54='W1'!$A$69,'W1'!H319,IF($D54='W1'!$A$70,'W1'!H319,ROUND(('Pilot Project Budget'!Q26/'W1'!$F$5*'W1'!$F$9*(IF('Pilot Project Budget'!$D54='W1'!$A$47,'W1'!H$47,IF('Pilot Project Budget'!$D54='W1'!$A$48,'W1'!H$48,IF('Pilot Project Budget'!$D54='W1'!$A$49,'W1'!H$49,IF('Pilot Project Budget'!$D54='W1'!$A$50,'W1'!H$50,IF('Pilot Project Budget'!$D54='W1'!$A$51,'W1'!H$51,IF('Pilot Project Budget'!$D54='W1'!$A$52,'W1'!H$52,IF('Pilot Project Budget'!$D54='W1'!$A$53,'W1'!H$53,IF('Pilot Project Budget'!$D54='W1'!$A$54,'W1'!H$54,IF('Pilot Project Budget'!$D54='W1'!$A$55,'W1'!H$55))))))))))),0)+ROUND(Q26/'W1'!$F$5*'W1'!$F$10*(IF('Pilot Project Budget'!$D54='W1'!$A$47,'W1'!I$47,IF('Pilot Project Budget'!$D54='W1'!$A$48,'W1'!I$48,IF('Pilot Project Budget'!$D54='W1'!$A$49,'W1'!I$49,IF('Pilot Project Budget'!$D54='W1'!$A$50,'W1'!I$50,IF('Pilot Project Budget'!$D54='W1'!$A$51,'W1'!I$51,IF('Pilot Project Budget'!$D54='W1'!$A$52,'W1'!I$52,IF('Pilot Project Budget'!$D54='W1'!$A$53,'W1'!I$53,IF('Pilot Project Budget'!$D54='W1'!$A$54,'W1'!I$54,IF('Pilot Project Budget'!$D54='W1'!$A$55,'W1'!I$55)))))))))),0))))))))</f>
        <v>0</v>
      </c>
      <c r="R54" s="187">
        <f>IF(R26=0,0,IF(AND($D54="F-SMRA",R26=0),0,IF(AND($D54="F-SMRB",R26=0),0,IF(AND($D54="F-SMRC",R26=0),0,IF($D54='W1'!$A$68,'W1'!J319,IF($D54='W1'!$A$69,'W1'!J319,IF($D54='W1'!$A$70,'W1'!J319,ROUND(('Pilot Project Budget'!R26/'W1'!$G$5*'W1'!$G$9*(IF('Pilot Project Budget'!$D54='W1'!$A$47,'W1'!J$47,IF('Pilot Project Budget'!$D54='W1'!$A$48,'W1'!J$48,IF('Pilot Project Budget'!$D54='W1'!$A$49,'W1'!J$49,IF('Pilot Project Budget'!$D54='W1'!$A$50,'W1'!J$50,IF('Pilot Project Budget'!$D54='W1'!$A$51,'W1'!J$51,IF('Pilot Project Budget'!$D54='W1'!$A$52,'W1'!J$52,IF('Pilot Project Budget'!$D54='W1'!$A$53,'W1'!J$53,IF('Pilot Project Budget'!$D54='W1'!$A$54,'W1'!J$54,IF('Pilot Project Budget'!$D54='W1'!$A$55,'W1'!J$55))))))))))),0)+ROUND(R26/'W1'!$G$5*'W1'!$G$10*(IF('Pilot Project Budget'!$D54='W1'!$A$47,'W1'!K$47,IF('Pilot Project Budget'!$D54='W1'!$A$48,'W1'!K$48,IF('Pilot Project Budget'!$D54='W1'!$A$49,'W1'!K$49,IF('Pilot Project Budget'!$D54='W1'!$A$50,'W1'!K$50,IF('Pilot Project Budget'!$D54='W1'!$A$51,'W1'!K$51,IF('Pilot Project Budget'!$D54='W1'!$A$52,'W1'!K$52,IF('Pilot Project Budget'!$D54='W1'!$A$53,'W1'!K$53,IF('Pilot Project Budget'!$D54='W1'!$A$54,'W1'!K$54,IF('Pilot Project Budget'!$D54='W1'!$A$55,'W1'!K$55)))))))))),0))))))))</f>
        <v>0</v>
      </c>
      <c r="S54" s="187">
        <f t="shared" si="3"/>
        <v>0</v>
      </c>
      <c r="T54" s="248"/>
      <c r="U54" s="248"/>
      <c r="V54" s="248"/>
      <c r="W54" s="248"/>
      <c r="X54" s="248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</row>
    <row r="55" spans="1:51" hidden="1" x14ac:dyDescent="0.2">
      <c r="A55" s="92">
        <v>20</v>
      </c>
      <c r="B55" s="381">
        <f t="shared" si="2"/>
        <v>0</v>
      </c>
      <c r="C55" s="382"/>
      <c r="D55" s="199" t="s">
        <v>52</v>
      </c>
      <c r="E55" s="226" t="str">
        <f>IF($D55='W1'!$A$59,'W1'!B$59,IF($D55='W1'!$A$60,'W1'!B$60,IF($D55='W1'!$A$61,'W1'!B$61,IF($D55='W1'!$A$62,'W1'!B$62,IF($D55='W1'!$A$63,'W1'!B$63,IF($D55='W1'!$A$64,'W1'!B$64,IF($D55='W1'!$A$65,'W1'!B$65,IF($D55='W1'!$A$66,'W1'!B$66,IF($D55='W1'!$A$67,'W1'!B$67,IF($D55='W1'!$A$68,'W1'!B294,IF($D55='W1'!$A$69,'W1'!B294,IF($D55='W1'!$A$70,'W1'!B294,IF($D55='W1'!$A$71,"")))))))))))))</f>
        <v/>
      </c>
      <c r="F55" s="378" t="str">
        <f>IF($D55='W1'!$A$59,'W1'!C$59,IF($D55='W1'!$A$60,'W1'!C$60,IF($D55='W1'!$A$61,'W1'!C$61,IF($D55='W1'!$A$62,'W1'!C$62,IF($D55='W1'!$A$63,'W1'!C$63,IF($D55='W1'!$A$64,'W1'!C$64,IF($D55='W1'!$A$65,'W1'!C$65,IF($D55='W1'!$A$66,'W1'!C$66,IF($D55='W1'!$A$67,'W1'!C$67,IF($D55='W1'!$A$68,'W1'!D294,IF($D55='W1'!$A$69,'W1'!D294,IF($D55='W1'!$A$70,'W1'!D294,IF($D55='W1'!$A$71,"")))))))))))))</f>
        <v/>
      </c>
      <c r="G55" s="379"/>
      <c r="H55" s="366" t="str">
        <f>IF($D55='W1'!$A$59,'W1'!D$59,IF($D55='W1'!$A$60,'W1'!D$60,IF($D55='W1'!$A$61,'W1'!D$61,IF($D55='W1'!$A$62,'W1'!D$62,IF($D55='W1'!$A$63,'W1'!D$63,IF($D55='W1'!$A$64,'W1'!D$64,IF($D55='W1'!$A$65,'W1'!D$65,IF($D55='W1'!$A$66,'W1'!D$66,IF($D55='W1'!$A$67,'W1'!D$67,IF($D55='W1'!$A$68,'W1'!F294,IF($D55='W1'!$A$69,'W1'!F294,IF($D55='W1'!$A$70,'W1'!F294,IF($D55='W1'!$A$71,"")))))))))))))</f>
        <v/>
      </c>
      <c r="I55" s="367"/>
      <c r="J55" s="366" t="str">
        <f>IF($D55='W1'!$A$59,'W1'!E$59,IF($D55='W1'!$A$60,'W1'!E$60,IF($D55='W1'!$A$61,'W1'!E$61,IF($D55='W1'!$A$62,'W1'!E$62,IF($D55='W1'!$A$63,'W1'!E$63,IF($D55='W1'!$A$64,'W1'!E$64,IF($D55='W1'!$A$65,'W1'!E$65,IF($D55='W1'!$A$66,'W1'!E$66,IF($D55='W1'!$A$67,'W1'!E$67,IF($D55='W1'!$A$68,'W1'!H294,IF($D55='W1'!$A$69,'W1'!H294,IF($D55='W1'!$A$70,'W1'!H294,IF($D55='W1'!$A$71,"")))))))))))))</f>
        <v/>
      </c>
      <c r="K55" s="367"/>
      <c r="L55" s="366" t="str">
        <f>IF($D55='W1'!$A$59,'W1'!F$59,IF($D55='W1'!$A$60,'W1'!F$60,IF($D55='W1'!$A$61,'W1'!F$61,IF($D55='W1'!$A$62,'W1'!F$62,IF($D55='W1'!$A$63,'W1'!F$63,IF($D55='W1'!$A$64,'W1'!F$64,IF($D55='W1'!$A$65,'W1'!F$65,IF($D55='W1'!$A$66,'W1'!F$66,IF($D55='W1'!$A$67,'W1'!F$67,IF($D55='W1'!$A$68,'W1'!J294,IF($D55='W1'!$A$69,'W1'!J294,IF($D55='W1'!$A$70,'W1'!J294,IF($D55='W1'!$A$71,"")))))))))))))</f>
        <v/>
      </c>
      <c r="M55" s="367"/>
      <c r="N55" s="187">
        <f>IF(N27=0,0,IF(AND($D55="F-SMRA",N27=0),0,IF(AND($D55="F-SMRB",N27=0),0,IF(AND($D55="F-SMRC",N27=0),0,IF($D55='W1'!$A$68,'W1'!B320,IF($D55='W1'!$A$69,'W1'!B320,IF($D55='W1'!$A$70,'W1'!B320,ROUND(('Pilot Project Budget'!N27/'W1'!$C$5*'W1'!$C$9*(IF('Pilot Project Budget'!$D55='W1'!$A$47,'W1'!B$47,IF('Pilot Project Budget'!$D55='W1'!$A$48,'W1'!B$48,IF('Pilot Project Budget'!$D55='W1'!$A$49,'W1'!B$49,IF('Pilot Project Budget'!$D55='W1'!$A$50,'W1'!B$50,IF('Pilot Project Budget'!$D55='W1'!$A$51,'W1'!B$51,IF('Pilot Project Budget'!$D55='W1'!$A$52,'W1'!B$52,IF('Pilot Project Budget'!$D55='W1'!$A$53,'W1'!B$53,IF('Pilot Project Budget'!$D55='W1'!$A$54,'W1'!B$54,IF('Pilot Project Budget'!$D55='W1'!$A$55,'W1'!B$55))))))))))),0)+ROUND(N27/'W1'!$C$5*'W1'!$C$10*(IF('Pilot Project Budget'!$D55='W1'!$A$47,'W1'!C$47,IF('Pilot Project Budget'!$D55='W1'!$A$48,'W1'!C$48,IF('Pilot Project Budget'!$D55='W1'!$A$49,'W1'!C$49,IF('Pilot Project Budget'!$D55='W1'!$A$50,'W1'!C$50,IF('Pilot Project Budget'!$D55='W1'!$A$51,'W1'!C$51,IF('Pilot Project Budget'!$D55='W1'!$A$52,'W1'!C$52,IF('Pilot Project Budget'!$D55='W1'!$A$53,'W1'!C$53,IF('Pilot Project Budget'!$D55='W1'!$A$54,'W1'!C$54,IF('Pilot Project Budget'!$D55='W1'!$A$55,'W1'!C$55)))))))))),0))))))))</f>
        <v>0</v>
      </c>
      <c r="O55" s="187">
        <f>IF(O27=0,0,IF(AND($D55="F-SMRA",O27=0),0,IF(AND($D55="F-SMRB",O27=0),0,IF(AND($D55="F-SMRC",O27=0),0,IF($D55='W1'!$A$68,'W1'!D320,IF($D55='W1'!$A$69,'W1'!D320,IF($D55='W1'!$A$70,'W1'!D320,ROUND(('Pilot Project Budget'!O27/'W1'!$D$5*'W1'!$D$9*(IF('Pilot Project Budget'!$D55='W1'!$A$47,'W1'!D$47,IF('Pilot Project Budget'!$D55='W1'!$A$48,'W1'!D$48,IF('Pilot Project Budget'!$D55='W1'!$A$49,'W1'!D$49,IF('Pilot Project Budget'!$D55='W1'!$A$50,'W1'!D$50,IF('Pilot Project Budget'!$D55='W1'!$A$51,'W1'!D$51,IF('Pilot Project Budget'!$D55='W1'!$A$52,'W1'!D$52,IF('Pilot Project Budget'!$D55='W1'!$A$53,'W1'!D$53,IF('Pilot Project Budget'!$D55='W1'!$A$54,'W1'!D$54,IF('Pilot Project Budget'!$D55='W1'!$A$55,'W1'!D$55))))))))))),0)+ROUND(O27/'W1'!$D$5*'W1'!$D$10*(IF('Pilot Project Budget'!$D55='W1'!$A$47,'W1'!E$47,IF('Pilot Project Budget'!$D55='W1'!$A$48,'W1'!E$48,IF('Pilot Project Budget'!$D55='W1'!$A$49,'W1'!E$49,IF('Pilot Project Budget'!$D55='W1'!$A$50,'W1'!E$50,IF('Pilot Project Budget'!$D55='W1'!$A$51,'W1'!E$51,IF('Pilot Project Budget'!$D55='W1'!$A$52,'W1'!E$52,IF('Pilot Project Budget'!$D55='W1'!$A$53,'W1'!E$53,IF('Pilot Project Budget'!$D55='W1'!$A$54,'W1'!E$54,IF('Pilot Project Budget'!$D55='W1'!$A$55,'W1'!E$55)))))))))),0))))))))</f>
        <v>0</v>
      </c>
      <c r="P55" s="187">
        <f>IF(P27=0,0,IF(AND($D55="F-SMRA",P27=0),0,IF(AND($D55="F-SMRB",P27=0),0,IF(AND($D55="F-SMRC",P27=0),0,IF($D55='W1'!$A$68,'W1'!F320,IF($D55='W1'!$A$69,'W1'!F320,IF($D55='W1'!$A$70,'W1'!F320,ROUND(('Pilot Project Budget'!P27/'W1'!$E$5*'W1'!$E$9*(IF('Pilot Project Budget'!$D55='W1'!$A$47,'W1'!F$47,IF('Pilot Project Budget'!$D55='W1'!$A$48,'W1'!F$48,IF('Pilot Project Budget'!$D55='W1'!$A$49,'W1'!F$49,IF('Pilot Project Budget'!$D55='W1'!$A$50,'W1'!F$50,IF('Pilot Project Budget'!$D55='W1'!$A$51,'W1'!F$51,IF('Pilot Project Budget'!$D55='W1'!$A$52,'W1'!F$52,IF('Pilot Project Budget'!$D55='W1'!$A$53,'W1'!F$53,IF('Pilot Project Budget'!$D55='W1'!$A$54,'W1'!F$54,IF('Pilot Project Budget'!$D55='W1'!$A$55,'W1'!F$55))))))))))),0)+ROUND(P27/'W1'!$E$5*'W1'!$E$10*(IF('Pilot Project Budget'!$D55='W1'!$A$47,'W1'!G$47,IF('Pilot Project Budget'!$D55='W1'!$A$48,'W1'!G$48,IF('Pilot Project Budget'!$D55='W1'!$A$49,'W1'!G$49,IF('Pilot Project Budget'!$D55='W1'!$A$50,'W1'!G$50,IF('Pilot Project Budget'!$D55='W1'!$A$51,'W1'!G$51,IF('Pilot Project Budget'!$D55='W1'!$A$52,'W1'!G$52,IF('Pilot Project Budget'!$D55='W1'!$A$53,'W1'!G$53,IF('Pilot Project Budget'!$D55='W1'!$A$54,'W1'!G$54,IF('Pilot Project Budget'!$D55='W1'!$A$55,'W1'!G$55)))))))))),0))))))))</f>
        <v>0</v>
      </c>
      <c r="Q55" s="187">
        <f>IF(Q27=0,0,IF(AND($D55="F-SMRA",Q27=0),0,IF(AND($D55="F-SMRB",Q27=0),0,IF(AND($D55="F-SMRC",Q27=0),0,IF($D55='W1'!$A$68,'W1'!H320,IF($D55='W1'!$A$69,'W1'!H320,IF($D55='W1'!$A$70,'W1'!H320,ROUND(('Pilot Project Budget'!Q27/'W1'!$F$5*'W1'!$F$9*(IF('Pilot Project Budget'!$D55='W1'!$A$47,'W1'!H$47,IF('Pilot Project Budget'!$D55='W1'!$A$48,'W1'!H$48,IF('Pilot Project Budget'!$D55='W1'!$A$49,'W1'!H$49,IF('Pilot Project Budget'!$D55='W1'!$A$50,'W1'!H$50,IF('Pilot Project Budget'!$D55='W1'!$A$51,'W1'!H$51,IF('Pilot Project Budget'!$D55='W1'!$A$52,'W1'!H$52,IF('Pilot Project Budget'!$D55='W1'!$A$53,'W1'!H$53,IF('Pilot Project Budget'!$D55='W1'!$A$54,'W1'!H$54,IF('Pilot Project Budget'!$D55='W1'!$A$55,'W1'!H$55))))))))))),0)+ROUND(Q27/'W1'!$F$5*'W1'!$F$10*(IF('Pilot Project Budget'!$D55='W1'!$A$47,'W1'!I$47,IF('Pilot Project Budget'!$D55='W1'!$A$48,'W1'!I$48,IF('Pilot Project Budget'!$D55='W1'!$A$49,'W1'!I$49,IF('Pilot Project Budget'!$D55='W1'!$A$50,'W1'!I$50,IF('Pilot Project Budget'!$D55='W1'!$A$51,'W1'!I$51,IF('Pilot Project Budget'!$D55='W1'!$A$52,'W1'!I$52,IF('Pilot Project Budget'!$D55='W1'!$A$53,'W1'!I$53,IF('Pilot Project Budget'!$D55='W1'!$A$54,'W1'!I$54,IF('Pilot Project Budget'!$D55='W1'!$A$55,'W1'!I$55)))))))))),0))))))))</f>
        <v>0</v>
      </c>
      <c r="R55" s="187">
        <f>IF(R27=0,0,IF(AND($D55="F-SMRA",R27=0),0,IF(AND($D55="F-SMRB",R27=0),0,IF(AND($D55="F-SMRC",R27=0),0,IF($D55='W1'!$A$68,'W1'!J320,IF($D55='W1'!$A$69,'W1'!J320,IF($D55='W1'!$A$70,'W1'!J320,ROUND(('Pilot Project Budget'!R27/'W1'!$G$5*'W1'!$G$9*(IF('Pilot Project Budget'!$D55='W1'!$A$47,'W1'!J$47,IF('Pilot Project Budget'!$D55='W1'!$A$48,'W1'!J$48,IF('Pilot Project Budget'!$D55='W1'!$A$49,'W1'!J$49,IF('Pilot Project Budget'!$D55='W1'!$A$50,'W1'!J$50,IF('Pilot Project Budget'!$D55='W1'!$A$51,'W1'!J$51,IF('Pilot Project Budget'!$D55='W1'!$A$52,'W1'!J$52,IF('Pilot Project Budget'!$D55='W1'!$A$53,'W1'!J$53,IF('Pilot Project Budget'!$D55='W1'!$A$54,'W1'!J$54,IF('Pilot Project Budget'!$D55='W1'!$A$55,'W1'!J$55))))))))))),0)+ROUND(R27/'W1'!$G$5*'W1'!$G$10*(IF('Pilot Project Budget'!$D55='W1'!$A$47,'W1'!K$47,IF('Pilot Project Budget'!$D55='W1'!$A$48,'W1'!K$48,IF('Pilot Project Budget'!$D55='W1'!$A$49,'W1'!K$49,IF('Pilot Project Budget'!$D55='W1'!$A$50,'W1'!K$50,IF('Pilot Project Budget'!$D55='W1'!$A$51,'W1'!K$51,IF('Pilot Project Budget'!$D55='W1'!$A$52,'W1'!K$52,IF('Pilot Project Budget'!$D55='W1'!$A$53,'W1'!K$53,IF('Pilot Project Budget'!$D55='W1'!$A$54,'W1'!K$54,IF('Pilot Project Budget'!$D55='W1'!$A$55,'W1'!K$55)))))))))),0))))))))</f>
        <v>0</v>
      </c>
      <c r="S55" s="187">
        <f t="shared" si="3"/>
        <v>0</v>
      </c>
      <c r="T55" s="248"/>
      <c r="U55" s="248"/>
      <c r="V55" s="248"/>
      <c r="W55" s="248"/>
      <c r="X55" s="248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</row>
    <row r="56" spans="1:51" hidden="1" x14ac:dyDescent="0.2">
      <c r="A56" s="92">
        <v>21</v>
      </c>
      <c r="B56" s="381">
        <f t="shared" si="2"/>
        <v>0</v>
      </c>
      <c r="C56" s="382"/>
      <c r="D56" s="199" t="s">
        <v>52</v>
      </c>
      <c r="E56" s="226" t="str">
        <f>IF($D56='W1'!$A$59,'W1'!B$59,IF($D56='W1'!$A$60,'W1'!B$60,IF($D56='W1'!$A$61,'W1'!B$61,IF($D56='W1'!$A$62,'W1'!B$62,IF($D56='W1'!$A$63,'W1'!B$63,IF($D56='W1'!$A$64,'W1'!B$64,IF($D56='W1'!$A$65,'W1'!B$65,IF($D56='W1'!$A$66,'W1'!B$66,IF($D56='W1'!$A$67,'W1'!B$67,IF($D56='W1'!$A$68,'W1'!B295,IF($D56='W1'!$A$69,'W1'!B295,IF($D56='W1'!$A$70,'W1'!B295,IF($D56='W1'!$A$71,"")))))))))))))</f>
        <v/>
      </c>
      <c r="F56" s="378" t="str">
        <f>IF($D56='W1'!$A$59,'W1'!C$59,IF($D56='W1'!$A$60,'W1'!C$60,IF($D56='W1'!$A$61,'W1'!C$61,IF($D56='W1'!$A$62,'W1'!C$62,IF($D56='W1'!$A$63,'W1'!C$63,IF($D56='W1'!$A$64,'W1'!C$64,IF($D56='W1'!$A$65,'W1'!C$65,IF($D56='W1'!$A$66,'W1'!C$66,IF($D56='W1'!$A$67,'W1'!C$67,IF($D56='W1'!$A$68,'W1'!D295,IF($D56='W1'!$A$69,'W1'!D295,IF($D56='W1'!$A$70,'W1'!D295,IF($D56='W1'!$A$71,"")))))))))))))</f>
        <v/>
      </c>
      <c r="G56" s="379"/>
      <c r="H56" s="366" t="str">
        <f>IF($D56='W1'!$A$59,'W1'!D$59,IF($D56='W1'!$A$60,'W1'!D$60,IF($D56='W1'!$A$61,'W1'!D$61,IF($D56='W1'!$A$62,'W1'!D$62,IF($D56='W1'!$A$63,'W1'!D$63,IF($D56='W1'!$A$64,'W1'!D$64,IF($D56='W1'!$A$65,'W1'!D$65,IF($D56='W1'!$A$66,'W1'!D$66,IF($D56='W1'!$A$67,'W1'!D$67,IF($D56='W1'!$A$68,'W1'!F295,IF($D56='W1'!$A$69,'W1'!F295,IF($D56='W1'!$A$70,'W1'!F295,IF($D56='W1'!$A$71,"")))))))))))))</f>
        <v/>
      </c>
      <c r="I56" s="367"/>
      <c r="J56" s="366" t="str">
        <f>IF($D56='W1'!$A$59,'W1'!E$59,IF($D56='W1'!$A$60,'W1'!E$60,IF($D56='W1'!$A$61,'W1'!E$61,IF($D56='W1'!$A$62,'W1'!E$62,IF($D56='W1'!$A$63,'W1'!E$63,IF($D56='W1'!$A$64,'W1'!E$64,IF($D56='W1'!$A$65,'W1'!E$65,IF($D56='W1'!$A$66,'W1'!E$66,IF($D56='W1'!$A$67,'W1'!E$67,IF($D56='W1'!$A$68,'W1'!H295,IF($D56='W1'!$A$69,'W1'!H295,IF($D56='W1'!$A$70,'W1'!H295,IF($D56='W1'!$A$71,"")))))))))))))</f>
        <v/>
      </c>
      <c r="K56" s="367"/>
      <c r="L56" s="366" t="str">
        <f>IF($D56='W1'!$A$59,'W1'!F$59,IF($D56='W1'!$A$60,'W1'!F$60,IF($D56='W1'!$A$61,'W1'!F$61,IF($D56='W1'!$A$62,'W1'!F$62,IF($D56='W1'!$A$63,'W1'!F$63,IF($D56='W1'!$A$64,'W1'!F$64,IF($D56='W1'!$A$65,'W1'!F$65,IF($D56='W1'!$A$66,'W1'!F$66,IF($D56='W1'!$A$67,'W1'!F$67,IF($D56='W1'!$A$68,'W1'!J295,IF($D56='W1'!$A$69,'W1'!J295,IF($D56='W1'!$A$70,'W1'!J295,IF($D56='W1'!$A$71,"")))))))))))))</f>
        <v/>
      </c>
      <c r="M56" s="367"/>
      <c r="N56" s="187">
        <f>IF(N28=0,0,IF(AND($D56="F-SMRA",N28=0),0,IF(AND($D56="F-SMRB",N28=0),0,IF(AND($D56="F-SMRC",N28=0),0,IF($D56='W1'!$A$68,'W1'!B321,IF($D56='W1'!$A$69,'W1'!B321,IF($D56='W1'!$A$70,'W1'!B321,ROUND(('Pilot Project Budget'!N28/'W1'!$C$5*'W1'!$C$9*(IF('Pilot Project Budget'!$D56='W1'!$A$47,'W1'!B$47,IF('Pilot Project Budget'!$D56='W1'!$A$48,'W1'!B$48,IF('Pilot Project Budget'!$D56='W1'!$A$49,'W1'!B$49,IF('Pilot Project Budget'!$D56='W1'!$A$50,'W1'!B$50,IF('Pilot Project Budget'!$D56='W1'!$A$51,'W1'!B$51,IF('Pilot Project Budget'!$D56='W1'!$A$52,'W1'!B$52,IF('Pilot Project Budget'!$D56='W1'!$A$53,'W1'!B$53,IF('Pilot Project Budget'!$D56='W1'!$A$54,'W1'!B$54,IF('Pilot Project Budget'!$D56='W1'!$A$55,'W1'!B$55))))))))))),0)+ROUND(N28/'W1'!$C$5*'W1'!$C$10*(IF('Pilot Project Budget'!$D56='W1'!$A$47,'W1'!C$47,IF('Pilot Project Budget'!$D56='W1'!$A$48,'W1'!C$48,IF('Pilot Project Budget'!$D56='W1'!$A$49,'W1'!C$49,IF('Pilot Project Budget'!$D56='W1'!$A$50,'W1'!C$50,IF('Pilot Project Budget'!$D56='W1'!$A$51,'W1'!C$51,IF('Pilot Project Budget'!$D56='W1'!$A$52,'W1'!C$52,IF('Pilot Project Budget'!$D56='W1'!$A$53,'W1'!C$53,IF('Pilot Project Budget'!$D56='W1'!$A$54,'W1'!C$54,IF('Pilot Project Budget'!$D56='W1'!$A$55,'W1'!C$55)))))))))),0))))))))</f>
        <v>0</v>
      </c>
      <c r="O56" s="187">
        <f>IF(O28=0,0,IF(AND($D56="F-SMRA",O28=0),0,IF(AND($D56="F-SMRB",O28=0),0,IF(AND($D56="F-SMRC",O28=0),0,IF($D56='W1'!$A$68,'W1'!D321,IF($D56='W1'!$A$69,'W1'!D321,IF($D56='W1'!$A$70,'W1'!D321,ROUND(('Pilot Project Budget'!O28/'W1'!$D$5*'W1'!$D$9*(IF('Pilot Project Budget'!$D56='W1'!$A$47,'W1'!D$47,IF('Pilot Project Budget'!$D56='W1'!$A$48,'W1'!D$48,IF('Pilot Project Budget'!$D56='W1'!$A$49,'W1'!D$49,IF('Pilot Project Budget'!$D56='W1'!$A$50,'W1'!D$50,IF('Pilot Project Budget'!$D56='W1'!$A$51,'W1'!D$51,IF('Pilot Project Budget'!$D56='W1'!$A$52,'W1'!D$52,IF('Pilot Project Budget'!$D56='W1'!$A$53,'W1'!D$53,IF('Pilot Project Budget'!$D56='W1'!$A$54,'W1'!D$54,IF('Pilot Project Budget'!$D56='W1'!$A$55,'W1'!D$55))))))))))),0)+ROUND(O28/'W1'!$D$5*'W1'!$D$10*(IF('Pilot Project Budget'!$D56='W1'!$A$47,'W1'!E$47,IF('Pilot Project Budget'!$D56='W1'!$A$48,'W1'!E$48,IF('Pilot Project Budget'!$D56='W1'!$A$49,'W1'!E$49,IF('Pilot Project Budget'!$D56='W1'!$A$50,'W1'!E$50,IF('Pilot Project Budget'!$D56='W1'!$A$51,'W1'!E$51,IF('Pilot Project Budget'!$D56='W1'!$A$52,'W1'!E$52,IF('Pilot Project Budget'!$D56='W1'!$A$53,'W1'!E$53,IF('Pilot Project Budget'!$D56='W1'!$A$54,'W1'!E$54,IF('Pilot Project Budget'!$D56='W1'!$A$55,'W1'!E$55)))))))))),0))))))))</f>
        <v>0</v>
      </c>
      <c r="P56" s="187">
        <f>IF(P28=0,0,IF(AND($D56="F-SMRA",P28=0),0,IF(AND($D56="F-SMRB",P28=0),0,IF(AND($D56="F-SMRC",P28=0),0,IF($D56='W1'!$A$68,'W1'!F321,IF($D56='W1'!$A$69,'W1'!F321,IF($D56='W1'!$A$70,'W1'!F321,ROUND(('Pilot Project Budget'!P28/'W1'!$E$5*'W1'!$E$9*(IF('Pilot Project Budget'!$D56='W1'!$A$47,'W1'!F$47,IF('Pilot Project Budget'!$D56='W1'!$A$48,'W1'!F$48,IF('Pilot Project Budget'!$D56='W1'!$A$49,'W1'!F$49,IF('Pilot Project Budget'!$D56='W1'!$A$50,'W1'!F$50,IF('Pilot Project Budget'!$D56='W1'!$A$51,'W1'!F$51,IF('Pilot Project Budget'!$D56='W1'!$A$52,'W1'!F$52,IF('Pilot Project Budget'!$D56='W1'!$A$53,'W1'!F$53,IF('Pilot Project Budget'!$D56='W1'!$A$54,'W1'!F$54,IF('Pilot Project Budget'!$D56='W1'!$A$55,'W1'!F$55))))))))))),0)+ROUND(P28/'W1'!$E$5*'W1'!$E$10*(IF('Pilot Project Budget'!$D56='W1'!$A$47,'W1'!G$47,IF('Pilot Project Budget'!$D56='W1'!$A$48,'W1'!G$48,IF('Pilot Project Budget'!$D56='W1'!$A$49,'W1'!G$49,IF('Pilot Project Budget'!$D56='W1'!$A$50,'W1'!G$50,IF('Pilot Project Budget'!$D56='W1'!$A$51,'W1'!G$51,IF('Pilot Project Budget'!$D56='W1'!$A$52,'W1'!G$52,IF('Pilot Project Budget'!$D56='W1'!$A$53,'W1'!G$53,IF('Pilot Project Budget'!$D56='W1'!$A$54,'W1'!G$54,IF('Pilot Project Budget'!$D56='W1'!$A$55,'W1'!G$55)))))))))),0))))))))</f>
        <v>0</v>
      </c>
      <c r="Q56" s="187">
        <f>IF(Q28=0,0,IF(AND($D56="F-SMRA",Q28=0),0,IF(AND($D56="F-SMRB",Q28=0),0,IF(AND($D56="F-SMRC",Q28=0),0,IF($D56='W1'!$A$68,'W1'!H321,IF($D56='W1'!$A$69,'W1'!H321,IF($D56='W1'!$A$70,'W1'!H321,ROUND(('Pilot Project Budget'!Q28/'W1'!$F$5*'W1'!$F$9*(IF('Pilot Project Budget'!$D56='W1'!$A$47,'W1'!H$47,IF('Pilot Project Budget'!$D56='W1'!$A$48,'W1'!H$48,IF('Pilot Project Budget'!$D56='W1'!$A$49,'W1'!H$49,IF('Pilot Project Budget'!$D56='W1'!$A$50,'W1'!H$50,IF('Pilot Project Budget'!$D56='W1'!$A$51,'W1'!H$51,IF('Pilot Project Budget'!$D56='W1'!$A$52,'W1'!H$52,IF('Pilot Project Budget'!$D56='W1'!$A$53,'W1'!H$53,IF('Pilot Project Budget'!$D56='W1'!$A$54,'W1'!H$54,IF('Pilot Project Budget'!$D56='W1'!$A$55,'W1'!H$55))))))))))),0)+ROUND(Q28/'W1'!$F$5*'W1'!$F$10*(IF('Pilot Project Budget'!$D56='W1'!$A$47,'W1'!I$47,IF('Pilot Project Budget'!$D56='W1'!$A$48,'W1'!I$48,IF('Pilot Project Budget'!$D56='W1'!$A$49,'W1'!I$49,IF('Pilot Project Budget'!$D56='W1'!$A$50,'W1'!I$50,IF('Pilot Project Budget'!$D56='W1'!$A$51,'W1'!I$51,IF('Pilot Project Budget'!$D56='W1'!$A$52,'W1'!I$52,IF('Pilot Project Budget'!$D56='W1'!$A$53,'W1'!I$53,IF('Pilot Project Budget'!$D56='W1'!$A$54,'W1'!I$54,IF('Pilot Project Budget'!$D56='W1'!$A$55,'W1'!I$55)))))))))),0))))))))</f>
        <v>0</v>
      </c>
      <c r="R56" s="187">
        <f>IF(R28=0,0,IF(AND($D56="F-SMRA",R28=0),0,IF(AND($D56="F-SMRB",R28=0),0,IF(AND($D56="F-SMRC",R28=0),0,IF($D56='W1'!$A$68,'W1'!J321,IF($D56='W1'!$A$69,'W1'!J321,IF($D56='W1'!$A$70,'W1'!J321,ROUND(('Pilot Project Budget'!R28/'W1'!$G$5*'W1'!$G$9*(IF('Pilot Project Budget'!$D56='W1'!$A$47,'W1'!J$47,IF('Pilot Project Budget'!$D56='W1'!$A$48,'W1'!J$48,IF('Pilot Project Budget'!$D56='W1'!$A$49,'W1'!J$49,IF('Pilot Project Budget'!$D56='W1'!$A$50,'W1'!J$50,IF('Pilot Project Budget'!$D56='W1'!$A$51,'W1'!J$51,IF('Pilot Project Budget'!$D56='W1'!$A$52,'W1'!J$52,IF('Pilot Project Budget'!$D56='W1'!$A$53,'W1'!J$53,IF('Pilot Project Budget'!$D56='W1'!$A$54,'W1'!J$54,IF('Pilot Project Budget'!$D56='W1'!$A$55,'W1'!J$55))))))))))),0)+ROUND(R28/'W1'!$G$5*'W1'!$G$10*(IF('Pilot Project Budget'!$D56='W1'!$A$47,'W1'!K$47,IF('Pilot Project Budget'!$D56='W1'!$A$48,'W1'!K$48,IF('Pilot Project Budget'!$D56='W1'!$A$49,'W1'!K$49,IF('Pilot Project Budget'!$D56='W1'!$A$50,'W1'!K$50,IF('Pilot Project Budget'!$D56='W1'!$A$51,'W1'!K$51,IF('Pilot Project Budget'!$D56='W1'!$A$52,'W1'!K$52,IF('Pilot Project Budget'!$D56='W1'!$A$53,'W1'!K$53,IF('Pilot Project Budget'!$D56='W1'!$A$54,'W1'!K$54,IF('Pilot Project Budget'!$D56='W1'!$A$55,'W1'!K$55)))))))))),0))))))))</f>
        <v>0</v>
      </c>
      <c r="S56" s="187">
        <f t="shared" si="3"/>
        <v>0</v>
      </c>
      <c r="T56" s="248"/>
      <c r="U56" s="248"/>
      <c r="V56" s="248"/>
      <c r="W56" s="248"/>
      <c r="X56" s="248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</row>
    <row r="57" spans="1:51" hidden="1" x14ac:dyDescent="0.2">
      <c r="A57" s="92">
        <v>22</v>
      </c>
      <c r="B57" s="381">
        <f t="shared" si="2"/>
        <v>0</v>
      </c>
      <c r="C57" s="382"/>
      <c r="D57" s="199" t="s">
        <v>52</v>
      </c>
      <c r="E57" s="226" t="str">
        <f>IF($D57='W1'!$A$59,'W1'!B$59,IF($D57='W1'!$A$60,'W1'!B$60,IF($D57='W1'!$A$61,'W1'!B$61,IF($D57='W1'!$A$62,'W1'!B$62,IF($D57='W1'!$A$63,'W1'!B$63,IF($D57='W1'!$A$64,'W1'!B$64,IF($D57='W1'!$A$65,'W1'!B$65,IF($D57='W1'!$A$66,'W1'!B$66,IF($D57='W1'!$A$67,'W1'!B$67,IF($D57='W1'!$A$68,'W1'!B296,IF($D57='W1'!$A$69,'W1'!B296,IF($D57='W1'!$A$70,'W1'!B296,IF($D57='W1'!$A$71,"")))))))))))))</f>
        <v/>
      </c>
      <c r="F57" s="378" t="str">
        <f>IF($D57='W1'!$A$59,'W1'!C$59,IF($D57='W1'!$A$60,'W1'!C$60,IF($D57='W1'!$A$61,'W1'!C$61,IF($D57='W1'!$A$62,'W1'!C$62,IF($D57='W1'!$A$63,'W1'!C$63,IF($D57='W1'!$A$64,'W1'!C$64,IF($D57='W1'!$A$65,'W1'!C$65,IF($D57='W1'!$A$66,'W1'!C$66,IF($D57='W1'!$A$67,'W1'!C$67,IF($D57='W1'!$A$68,'W1'!D296,IF($D57='W1'!$A$69,'W1'!D296,IF($D57='W1'!$A$70,'W1'!D296,IF($D57='W1'!$A$71,"")))))))))))))</f>
        <v/>
      </c>
      <c r="G57" s="379"/>
      <c r="H57" s="366" t="str">
        <f>IF($D57='W1'!$A$59,'W1'!D$59,IF($D57='W1'!$A$60,'W1'!D$60,IF($D57='W1'!$A$61,'W1'!D$61,IF($D57='W1'!$A$62,'W1'!D$62,IF($D57='W1'!$A$63,'W1'!D$63,IF($D57='W1'!$A$64,'W1'!D$64,IF($D57='W1'!$A$65,'W1'!D$65,IF($D57='W1'!$A$66,'W1'!D$66,IF($D57='W1'!$A$67,'W1'!D$67,IF($D57='W1'!$A$68,'W1'!F296,IF($D57='W1'!$A$69,'W1'!F296,IF($D57='W1'!$A$70,'W1'!F296,IF($D57='W1'!$A$71,"")))))))))))))</f>
        <v/>
      </c>
      <c r="I57" s="367"/>
      <c r="J57" s="366" t="str">
        <f>IF($D57='W1'!$A$59,'W1'!E$59,IF($D57='W1'!$A$60,'W1'!E$60,IF($D57='W1'!$A$61,'W1'!E$61,IF($D57='W1'!$A$62,'W1'!E$62,IF($D57='W1'!$A$63,'W1'!E$63,IF($D57='W1'!$A$64,'W1'!E$64,IF($D57='W1'!$A$65,'W1'!E$65,IF($D57='W1'!$A$66,'W1'!E$66,IF($D57='W1'!$A$67,'W1'!E$67,IF($D57='W1'!$A$68,'W1'!H296,IF($D57='W1'!$A$69,'W1'!H296,IF($D57='W1'!$A$70,'W1'!H296,IF($D57='W1'!$A$71,"")))))))))))))</f>
        <v/>
      </c>
      <c r="K57" s="367"/>
      <c r="L57" s="366" t="str">
        <f>IF($D57='W1'!$A$59,'W1'!F$59,IF($D57='W1'!$A$60,'W1'!F$60,IF($D57='W1'!$A$61,'W1'!F$61,IF($D57='W1'!$A$62,'W1'!F$62,IF($D57='W1'!$A$63,'W1'!F$63,IF($D57='W1'!$A$64,'W1'!F$64,IF($D57='W1'!$A$65,'W1'!F$65,IF($D57='W1'!$A$66,'W1'!F$66,IF($D57='W1'!$A$67,'W1'!F$67,IF($D57='W1'!$A$68,'W1'!J296,IF($D57='W1'!$A$69,'W1'!J296,IF($D57='W1'!$A$70,'W1'!J296,IF($D57='W1'!$A$71,"")))))))))))))</f>
        <v/>
      </c>
      <c r="M57" s="367"/>
      <c r="N57" s="187">
        <f>IF(N29=0,0,IF(AND($D57="F-SMRA",N29=0),0,IF(AND($D57="F-SMRB",N29=0),0,IF(AND($D57="F-SMRC",N29=0),0,IF($D57='W1'!$A$68,'W1'!B322,IF($D57='W1'!$A$69,'W1'!B322,IF($D57='W1'!$A$70,'W1'!B322,ROUND(('Pilot Project Budget'!N29/'W1'!$C$5*'W1'!$C$9*(IF('Pilot Project Budget'!$D57='W1'!$A$47,'W1'!B$47,IF('Pilot Project Budget'!$D57='W1'!$A$48,'W1'!B$48,IF('Pilot Project Budget'!$D57='W1'!$A$49,'W1'!B$49,IF('Pilot Project Budget'!$D57='W1'!$A$50,'W1'!B$50,IF('Pilot Project Budget'!$D57='W1'!$A$51,'W1'!B$51,IF('Pilot Project Budget'!$D57='W1'!$A$52,'W1'!B$52,IF('Pilot Project Budget'!$D57='W1'!$A$53,'W1'!B$53,IF('Pilot Project Budget'!$D57='W1'!$A$54,'W1'!B$54,IF('Pilot Project Budget'!$D57='W1'!$A$55,'W1'!B$55))))))))))),0)+ROUND(N29/'W1'!$C$5*'W1'!$C$10*(IF('Pilot Project Budget'!$D57='W1'!$A$47,'W1'!C$47,IF('Pilot Project Budget'!$D57='W1'!$A$48,'W1'!C$48,IF('Pilot Project Budget'!$D57='W1'!$A$49,'W1'!C$49,IF('Pilot Project Budget'!$D57='W1'!$A$50,'W1'!C$50,IF('Pilot Project Budget'!$D57='W1'!$A$51,'W1'!C$51,IF('Pilot Project Budget'!$D57='W1'!$A$52,'W1'!C$52,IF('Pilot Project Budget'!$D57='W1'!$A$53,'W1'!C$53,IF('Pilot Project Budget'!$D57='W1'!$A$54,'W1'!C$54,IF('Pilot Project Budget'!$D57='W1'!$A$55,'W1'!C$55)))))))))),0))))))))</f>
        <v>0</v>
      </c>
      <c r="O57" s="187">
        <f>IF(O29=0,0,IF(AND($D57="F-SMRA",O29=0),0,IF(AND($D57="F-SMRB",O29=0),0,IF(AND($D57="F-SMRC",O29=0),0,IF($D57='W1'!$A$68,'W1'!D322,IF($D57='W1'!$A$69,'W1'!D322,IF($D57='W1'!$A$70,'W1'!D322,ROUND(('Pilot Project Budget'!O29/'W1'!$D$5*'W1'!$D$9*(IF('Pilot Project Budget'!$D57='W1'!$A$47,'W1'!D$47,IF('Pilot Project Budget'!$D57='W1'!$A$48,'W1'!D$48,IF('Pilot Project Budget'!$D57='W1'!$A$49,'W1'!D$49,IF('Pilot Project Budget'!$D57='W1'!$A$50,'W1'!D$50,IF('Pilot Project Budget'!$D57='W1'!$A$51,'W1'!D$51,IF('Pilot Project Budget'!$D57='W1'!$A$52,'W1'!D$52,IF('Pilot Project Budget'!$D57='W1'!$A$53,'W1'!D$53,IF('Pilot Project Budget'!$D57='W1'!$A$54,'W1'!D$54,IF('Pilot Project Budget'!$D57='W1'!$A$55,'W1'!D$55))))))))))),0)+ROUND(O29/'W1'!$D$5*'W1'!$D$10*(IF('Pilot Project Budget'!$D57='W1'!$A$47,'W1'!E$47,IF('Pilot Project Budget'!$D57='W1'!$A$48,'W1'!E$48,IF('Pilot Project Budget'!$D57='W1'!$A$49,'W1'!E$49,IF('Pilot Project Budget'!$D57='W1'!$A$50,'W1'!E$50,IF('Pilot Project Budget'!$D57='W1'!$A$51,'W1'!E$51,IF('Pilot Project Budget'!$D57='W1'!$A$52,'W1'!E$52,IF('Pilot Project Budget'!$D57='W1'!$A$53,'W1'!E$53,IF('Pilot Project Budget'!$D57='W1'!$A$54,'W1'!E$54,IF('Pilot Project Budget'!$D57='W1'!$A$55,'W1'!E$55)))))))))),0))))))))</f>
        <v>0</v>
      </c>
      <c r="P57" s="187">
        <f>IF(P29=0,0,IF(AND($D57="F-SMRA",P29=0),0,IF(AND($D57="F-SMRB",P29=0),0,IF(AND($D57="F-SMRC",P29=0),0,IF($D57='W1'!$A$68,'W1'!F322,IF($D57='W1'!$A$69,'W1'!F322,IF($D57='W1'!$A$70,'W1'!F322,ROUND(('Pilot Project Budget'!P29/'W1'!$E$5*'W1'!$E$9*(IF('Pilot Project Budget'!$D57='W1'!$A$47,'W1'!F$47,IF('Pilot Project Budget'!$D57='W1'!$A$48,'W1'!F$48,IF('Pilot Project Budget'!$D57='W1'!$A$49,'W1'!F$49,IF('Pilot Project Budget'!$D57='W1'!$A$50,'W1'!F$50,IF('Pilot Project Budget'!$D57='W1'!$A$51,'W1'!F$51,IF('Pilot Project Budget'!$D57='W1'!$A$52,'W1'!F$52,IF('Pilot Project Budget'!$D57='W1'!$A$53,'W1'!F$53,IF('Pilot Project Budget'!$D57='W1'!$A$54,'W1'!F$54,IF('Pilot Project Budget'!$D57='W1'!$A$55,'W1'!F$55))))))))))),0)+ROUND(P29/'W1'!$E$5*'W1'!$E$10*(IF('Pilot Project Budget'!$D57='W1'!$A$47,'W1'!G$47,IF('Pilot Project Budget'!$D57='W1'!$A$48,'W1'!G$48,IF('Pilot Project Budget'!$D57='W1'!$A$49,'W1'!G$49,IF('Pilot Project Budget'!$D57='W1'!$A$50,'W1'!G$50,IF('Pilot Project Budget'!$D57='W1'!$A$51,'W1'!G$51,IF('Pilot Project Budget'!$D57='W1'!$A$52,'W1'!G$52,IF('Pilot Project Budget'!$D57='W1'!$A$53,'W1'!G$53,IF('Pilot Project Budget'!$D57='W1'!$A$54,'W1'!G$54,IF('Pilot Project Budget'!$D57='W1'!$A$55,'W1'!G$55)))))))))),0))))))))</f>
        <v>0</v>
      </c>
      <c r="Q57" s="187">
        <f>IF(Q29=0,0,IF(AND($D57="F-SMRA",Q29=0),0,IF(AND($D57="F-SMRB",Q29=0),0,IF(AND($D57="F-SMRC",Q29=0),0,IF($D57='W1'!$A$68,'W1'!H322,IF($D57='W1'!$A$69,'W1'!H322,IF($D57='W1'!$A$70,'W1'!H322,ROUND(('Pilot Project Budget'!Q29/'W1'!$F$5*'W1'!$F$9*(IF('Pilot Project Budget'!$D57='W1'!$A$47,'W1'!H$47,IF('Pilot Project Budget'!$D57='W1'!$A$48,'W1'!H$48,IF('Pilot Project Budget'!$D57='W1'!$A$49,'W1'!H$49,IF('Pilot Project Budget'!$D57='W1'!$A$50,'W1'!H$50,IF('Pilot Project Budget'!$D57='W1'!$A$51,'W1'!H$51,IF('Pilot Project Budget'!$D57='W1'!$A$52,'W1'!H$52,IF('Pilot Project Budget'!$D57='W1'!$A$53,'W1'!H$53,IF('Pilot Project Budget'!$D57='W1'!$A$54,'W1'!H$54,IF('Pilot Project Budget'!$D57='W1'!$A$55,'W1'!H$55))))))))))),0)+ROUND(Q29/'W1'!$F$5*'W1'!$F$10*(IF('Pilot Project Budget'!$D57='W1'!$A$47,'W1'!I$47,IF('Pilot Project Budget'!$D57='W1'!$A$48,'W1'!I$48,IF('Pilot Project Budget'!$D57='W1'!$A$49,'W1'!I$49,IF('Pilot Project Budget'!$D57='W1'!$A$50,'W1'!I$50,IF('Pilot Project Budget'!$D57='W1'!$A$51,'W1'!I$51,IF('Pilot Project Budget'!$D57='W1'!$A$52,'W1'!I$52,IF('Pilot Project Budget'!$D57='W1'!$A$53,'W1'!I$53,IF('Pilot Project Budget'!$D57='W1'!$A$54,'W1'!I$54,IF('Pilot Project Budget'!$D57='W1'!$A$55,'W1'!I$55)))))))))),0))))))))</f>
        <v>0</v>
      </c>
      <c r="R57" s="187">
        <f>IF(R29=0,0,IF(AND($D57="F-SMRA",R29=0),0,IF(AND($D57="F-SMRB",R29=0),0,IF(AND($D57="F-SMRC",R29=0),0,IF($D57='W1'!$A$68,'W1'!J322,IF($D57='W1'!$A$69,'W1'!J322,IF($D57='W1'!$A$70,'W1'!J322,ROUND(('Pilot Project Budget'!R29/'W1'!$G$5*'W1'!$G$9*(IF('Pilot Project Budget'!$D57='W1'!$A$47,'W1'!J$47,IF('Pilot Project Budget'!$D57='W1'!$A$48,'W1'!J$48,IF('Pilot Project Budget'!$D57='W1'!$A$49,'W1'!J$49,IF('Pilot Project Budget'!$D57='W1'!$A$50,'W1'!J$50,IF('Pilot Project Budget'!$D57='W1'!$A$51,'W1'!J$51,IF('Pilot Project Budget'!$D57='W1'!$A$52,'W1'!J$52,IF('Pilot Project Budget'!$D57='W1'!$A$53,'W1'!J$53,IF('Pilot Project Budget'!$D57='W1'!$A$54,'W1'!J$54,IF('Pilot Project Budget'!$D57='W1'!$A$55,'W1'!J$55))))))))))),0)+ROUND(R29/'W1'!$G$5*'W1'!$G$10*(IF('Pilot Project Budget'!$D57='W1'!$A$47,'W1'!K$47,IF('Pilot Project Budget'!$D57='W1'!$A$48,'W1'!K$48,IF('Pilot Project Budget'!$D57='W1'!$A$49,'W1'!K$49,IF('Pilot Project Budget'!$D57='W1'!$A$50,'W1'!K$50,IF('Pilot Project Budget'!$D57='W1'!$A$51,'W1'!K$51,IF('Pilot Project Budget'!$D57='W1'!$A$52,'W1'!K$52,IF('Pilot Project Budget'!$D57='W1'!$A$53,'W1'!K$53,IF('Pilot Project Budget'!$D57='W1'!$A$54,'W1'!K$54,IF('Pilot Project Budget'!$D57='W1'!$A$55,'W1'!K$55)))))))))),0))))))))</f>
        <v>0</v>
      </c>
      <c r="S57" s="187">
        <f t="shared" si="3"/>
        <v>0</v>
      </c>
      <c r="T57" s="248"/>
      <c r="U57" s="248"/>
      <c r="V57" s="248"/>
      <c r="W57" s="248"/>
      <c r="X57" s="248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</row>
    <row r="58" spans="1:51" hidden="1" x14ac:dyDescent="0.2">
      <c r="A58" s="92">
        <v>23</v>
      </c>
      <c r="B58" s="381">
        <f t="shared" si="2"/>
        <v>0</v>
      </c>
      <c r="C58" s="382"/>
      <c r="D58" s="199" t="s">
        <v>52</v>
      </c>
      <c r="E58" s="226" t="str">
        <f>IF($D58='W1'!$A$59,'W1'!B$59,IF($D58='W1'!$A$60,'W1'!B$60,IF($D58='W1'!$A$61,'W1'!B$61,IF($D58='W1'!$A$62,'W1'!B$62,IF($D58='W1'!$A$63,'W1'!B$63,IF($D58='W1'!$A$64,'W1'!B$64,IF($D58='W1'!$A$65,'W1'!B$65,IF($D58='W1'!$A$66,'W1'!B$66,IF($D58='W1'!$A$67,'W1'!B$67,IF($D58='W1'!$A$68,'W1'!B297,IF($D58='W1'!$A$69,'W1'!B297,IF($D58='W1'!$A$70,'W1'!B297,IF($D58='W1'!$A$71,"")))))))))))))</f>
        <v/>
      </c>
      <c r="F58" s="378" t="str">
        <f>IF($D58='W1'!$A$59,'W1'!C$59,IF($D58='W1'!$A$60,'W1'!C$60,IF($D58='W1'!$A$61,'W1'!C$61,IF($D58='W1'!$A$62,'W1'!C$62,IF($D58='W1'!$A$63,'W1'!C$63,IF($D58='W1'!$A$64,'W1'!C$64,IF($D58='W1'!$A$65,'W1'!C$65,IF($D58='W1'!$A$66,'W1'!C$66,IF($D58='W1'!$A$67,'W1'!C$67,IF($D58='W1'!$A$68,'W1'!D297,IF($D58='W1'!$A$69,'W1'!D297,IF($D58='W1'!$A$70,'W1'!D297,IF($D58='W1'!$A$71,"")))))))))))))</f>
        <v/>
      </c>
      <c r="G58" s="379"/>
      <c r="H58" s="366" t="str">
        <f>IF($D58='W1'!$A$59,'W1'!D$59,IF($D58='W1'!$A$60,'W1'!D$60,IF($D58='W1'!$A$61,'W1'!D$61,IF($D58='W1'!$A$62,'W1'!D$62,IF($D58='W1'!$A$63,'W1'!D$63,IF($D58='W1'!$A$64,'W1'!D$64,IF($D58='W1'!$A$65,'W1'!D$65,IF($D58='W1'!$A$66,'W1'!D$66,IF($D58='W1'!$A$67,'W1'!D$67,IF($D58='W1'!$A$68,'W1'!F297,IF($D58='W1'!$A$69,'W1'!F297,IF($D58='W1'!$A$70,'W1'!F297,IF($D58='W1'!$A$71,"")))))))))))))</f>
        <v/>
      </c>
      <c r="I58" s="367"/>
      <c r="J58" s="366" t="str">
        <f>IF($D58='W1'!$A$59,'W1'!E$59,IF($D58='W1'!$A$60,'W1'!E$60,IF($D58='W1'!$A$61,'W1'!E$61,IF($D58='W1'!$A$62,'W1'!E$62,IF($D58='W1'!$A$63,'W1'!E$63,IF($D58='W1'!$A$64,'W1'!E$64,IF($D58='W1'!$A$65,'W1'!E$65,IF($D58='W1'!$A$66,'W1'!E$66,IF($D58='W1'!$A$67,'W1'!E$67,IF($D58='W1'!$A$68,'W1'!H297,IF($D58='W1'!$A$69,'W1'!H297,IF($D58='W1'!$A$70,'W1'!H297,IF($D58='W1'!$A$71,"")))))))))))))</f>
        <v/>
      </c>
      <c r="K58" s="367"/>
      <c r="L58" s="366" t="str">
        <f>IF($D58='W1'!$A$59,'W1'!F$59,IF($D58='W1'!$A$60,'W1'!F$60,IF($D58='W1'!$A$61,'W1'!F$61,IF($D58='W1'!$A$62,'W1'!F$62,IF($D58='W1'!$A$63,'W1'!F$63,IF($D58='W1'!$A$64,'W1'!F$64,IF($D58='W1'!$A$65,'W1'!F$65,IF($D58='W1'!$A$66,'W1'!F$66,IF($D58='W1'!$A$67,'W1'!F$67,IF($D58='W1'!$A$68,'W1'!J297,IF($D58='W1'!$A$69,'W1'!J297,IF($D58='W1'!$A$70,'W1'!J297,IF($D58='W1'!$A$71,"")))))))))))))</f>
        <v/>
      </c>
      <c r="M58" s="367"/>
      <c r="N58" s="187">
        <f>IF(N30=0,0,IF(AND($D58="F-SMRA",N30=0),0,IF(AND($D58="F-SMRB",N30=0),0,IF(AND($D58="F-SMRC",N30=0),0,IF($D58='W1'!$A$68,'W1'!B323,IF($D58='W1'!$A$69,'W1'!B323,IF($D58='W1'!$A$70,'W1'!B323,ROUND(('Pilot Project Budget'!N30/'W1'!$C$5*'W1'!$C$9*(IF('Pilot Project Budget'!$D58='W1'!$A$47,'W1'!B$47,IF('Pilot Project Budget'!$D58='W1'!$A$48,'W1'!B$48,IF('Pilot Project Budget'!$D58='W1'!$A$49,'W1'!B$49,IF('Pilot Project Budget'!$D58='W1'!$A$50,'W1'!B$50,IF('Pilot Project Budget'!$D58='W1'!$A$51,'W1'!B$51,IF('Pilot Project Budget'!$D58='W1'!$A$52,'W1'!B$52,IF('Pilot Project Budget'!$D58='W1'!$A$53,'W1'!B$53,IF('Pilot Project Budget'!$D58='W1'!$A$54,'W1'!B$54,IF('Pilot Project Budget'!$D58='W1'!$A$55,'W1'!B$55))))))))))),0)+ROUND(N30/'W1'!$C$5*'W1'!$C$10*(IF('Pilot Project Budget'!$D58='W1'!$A$47,'W1'!C$47,IF('Pilot Project Budget'!$D58='W1'!$A$48,'W1'!C$48,IF('Pilot Project Budget'!$D58='W1'!$A$49,'W1'!C$49,IF('Pilot Project Budget'!$D58='W1'!$A$50,'W1'!C$50,IF('Pilot Project Budget'!$D58='W1'!$A$51,'W1'!C$51,IF('Pilot Project Budget'!$D58='W1'!$A$52,'W1'!C$52,IF('Pilot Project Budget'!$D58='W1'!$A$53,'W1'!C$53,IF('Pilot Project Budget'!$D58='W1'!$A$54,'W1'!C$54,IF('Pilot Project Budget'!$D58='W1'!$A$55,'W1'!C$55)))))))))),0))))))))</f>
        <v>0</v>
      </c>
      <c r="O58" s="187">
        <f>IF(O30=0,0,IF(AND($D58="F-SMRA",O30=0),0,IF(AND($D58="F-SMRB",O30=0),0,IF(AND($D58="F-SMRC",O30=0),0,IF($D58='W1'!$A$68,'W1'!D323,IF($D58='W1'!$A$69,'W1'!D323,IF($D58='W1'!$A$70,'W1'!D323,ROUND(('Pilot Project Budget'!O30/'W1'!$D$5*'W1'!$D$9*(IF('Pilot Project Budget'!$D58='W1'!$A$47,'W1'!D$47,IF('Pilot Project Budget'!$D58='W1'!$A$48,'W1'!D$48,IF('Pilot Project Budget'!$D58='W1'!$A$49,'W1'!D$49,IF('Pilot Project Budget'!$D58='W1'!$A$50,'W1'!D$50,IF('Pilot Project Budget'!$D58='W1'!$A$51,'W1'!D$51,IF('Pilot Project Budget'!$D58='W1'!$A$52,'W1'!D$52,IF('Pilot Project Budget'!$D58='W1'!$A$53,'W1'!D$53,IF('Pilot Project Budget'!$D58='W1'!$A$54,'W1'!D$54,IF('Pilot Project Budget'!$D58='W1'!$A$55,'W1'!D$55))))))))))),0)+ROUND(O30/'W1'!$D$5*'W1'!$D$10*(IF('Pilot Project Budget'!$D58='W1'!$A$47,'W1'!E$47,IF('Pilot Project Budget'!$D58='W1'!$A$48,'W1'!E$48,IF('Pilot Project Budget'!$D58='W1'!$A$49,'W1'!E$49,IF('Pilot Project Budget'!$D58='W1'!$A$50,'W1'!E$50,IF('Pilot Project Budget'!$D58='W1'!$A$51,'W1'!E$51,IF('Pilot Project Budget'!$D58='W1'!$A$52,'W1'!E$52,IF('Pilot Project Budget'!$D58='W1'!$A$53,'W1'!E$53,IF('Pilot Project Budget'!$D58='W1'!$A$54,'W1'!E$54,IF('Pilot Project Budget'!$D58='W1'!$A$55,'W1'!E$55)))))))))),0))))))))</f>
        <v>0</v>
      </c>
      <c r="P58" s="187">
        <f>IF(P30=0,0,IF(AND($D58="F-SMRA",P30=0),0,IF(AND($D58="F-SMRB",P30=0),0,IF(AND($D58="F-SMRC",P30=0),0,IF($D58='W1'!$A$68,'W1'!F323,IF($D58='W1'!$A$69,'W1'!F323,IF($D58='W1'!$A$70,'W1'!F323,ROUND(('Pilot Project Budget'!P30/'W1'!$E$5*'W1'!$E$9*(IF('Pilot Project Budget'!$D58='W1'!$A$47,'W1'!F$47,IF('Pilot Project Budget'!$D58='W1'!$A$48,'W1'!F$48,IF('Pilot Project Budget'!$D58='W1'!$A$49,'W1'!F$49,IF('Pilot Project Budget'!$D58='W1'!$A$50,'W1'!F$50,IF('Pilot Project Budget'!$D58='W1'!$A$51,'W1'!F$51,IF('Pilot Project Budget'!$D58='W1'!$A$52,'W1'!F$52,IF('Pilot Project Budget'!$D58='W1'!$A$53,'W1'!F$53,IF('Pilot Project Budget'!$D58='W1'!$A$54,'W1'!F$54,IF('Pilot Project Budget'!$D58='W1'!$A$55,'W1'!F$55))))))))))),0)+ROUND(P30/'W1'!$E$5*'W1'!$E$10*(IF('Pilot Project Budget'!$D58='W1'!$A$47,'W1'!G$47,IF('Pilot Project Budget'!$D58='W1'!$A$48,'W1'!G$48,IF('Pilot Project Budget'!$D58='W1'!$A$49,'W1'!G$49,IF('Pilot Project Budget'!$D58='W1'!$A$50,'W1'!G$50,IF('Pilot Project Budget'!$D58='W1'!$A$51,'W1'!G$51,IF('Pilot Project Budget'!$D58='W1'!$A$52,'W1'!G$52,IF('Pilot Project Budget'!$D58='W1'!$A$53,'W1'!G$53,IF('Pilot Project Budget'!$D58='W1'!$A$54,'W1'!G$54,IF('Pilot Project Budget'!$D58='W1'!$A$55,'W1'!G$55)))))))))),0))))))))</f>
        <v>0</v>
      </c>
      <c r="Q58" s="187">
        <f>IF(Q30=0,0,IF(AND($D58="F-SMRA",Q30=0),0,IF(AND($D58="F-SMRB",Q30=0),0,IF(AND($D58="F-SMRC",Q30=0),0,IF($D58='W1'!$A$68,'W1'!H323,IF($D58='W1'!$A$69,'W1'!H323,IF($D58='W1'!$A$70,'W1'!H323,ROUND(('Pilot Project Budget'!Q30/'W1'!$F$5*'W1'!$F$9*(IF('Pilot Project Budget'!$D58='W1'!$A$47,'W1'!H$47,IF('Pilot Project Budget'!$D58='W1'!$A$48,'W1'!H$48,IF('Pilot Project Budget'!$D58='W1'!$A$49,'W1'!H$49,IF('Pilot Project Budget'!$D58='W1'!$A$50,'W1'!H$50,IF('Pilot Project Budget'!$D58='W1'!$A$51,'W1'!H$51,IF('Pilot Project Budget'!$D58='W1'!$A$52,'W1'!H$52,IF('Pilot Project Budget'!$D58='W1'!$A$53,'W1'!H$53,IF('Pilot Project Budget'!$D58='W1'!$A$54,'W1'!H$54,IF('Pilot Project Budget'!$D58='W1'!$A$55,'W1'!H$55))))))))))),0)+ROUND(Q30/'W1'!$F$5*'W1'!$F$10*(IF('Pilot Project Budget'!$D58='W1'!$A$47,'W1'!I$47,IF('Pilot Project Budget'!$D58='W1'!$A$48,'W1'!I$48,IF('Pilot Project Budget'!$D58='W1'!$A$49,'W1'!I$49,IF('Pilot Project Budget'!$D58='W1'!$A$50,'W1'!I$50,IF('Pilot Project Budget'!$D58='W1'!$A$51,'W1'!I$51,IF('Pilot Project Budget'!$D58='W1'!$A$52,'W1'!I$52,IF('Pilot Project Budget'!$D58='W1'!$A$53,'W1'!I$53,IF('Pilot Project Budget'!$D58='W1'!$A$54,'W1'!I$54,IF('Pilot Project Budget'!$D58='W1'!$A$55,'W1'!I$55)))))))))),0))))))))</f>
        <v>0</v>
      </c>
      <c r="R58" s="187">
        <f>IF(R30=0,0,IF(AND($D58="F-SMRA",R30=0),0,IF(AND($D58="F-SMRB",R30=0),0,IF(AND($D58="F-SMRC",R30=0),0,IF($D58='W1'!$A$68,'W1'!J323,IF($D58='W1'!$A$69,'W1'!J323,IF($D58='W1'!$A$70,'W1'!J323,ROUND(('Pilot Project Budget'!R30/'W1'!$G$5*'W1'!$G$9*(IF('Pilot Project Budget'!$D58='W1'!$A$47,'W1'!J$47,IF('Pilot Project Budget'!$D58='W1'!$A$48,'W1'!J$48,IF('Pilot Project Budget'!$D58='W1'!$A$49,'W1'!J$49,IF('Pilot Project Budget'!$D58='W1'!$A$50,'W1'!J$50,IF('Pilot Project Budget'!$D58='W1'!$A$51,'W1'!J$51,IF('Pilot Project Budget'!$D58='W1'!$A$52,'W1'!J$52,IF('Pilot Project Budget'!$D58='W1'!$A$53,'W1'!J$53,IF('Pilot Project Budget'!$D58='W1'!$A$54,'W1'!J$54,IF('Pilot Project Budget'!$D58='W1'!$A$55,'W1'!J$55))))))))))),0)+ROUND(R30/'W1'!$G$5*'W1'!$G$10*(IF('Pilot Project Budget'!$D58='W1'!$A$47,'W1'!K$47,IF('Pilot Project Budget'!$D58='W1'!$A$48,'W1'!K$48,IF('Pilot Project Budget'!$D58='W1'!$A$49,'W1'!K$49,IF('Pilot Project Budget'!$D58='W1'!$A$50,'W1'!K$50,IF('Pilot Project Budget'!$D58='W1'!$A$51,'W1'!K$51,IF('Pilot Project Budget'!$D58='W1'!$A$52,'W1'!K$52,IF('Pilot Project Budget'!$D58='W1'!$A$53,'W1'!K$53,IF('Pilot Project Budget'!$D58='W1'!$A$54,'W1'!K$54,IF('Pilot Project Budget'!$D58='W1'!$A$55,'W1'!K$55)))))))))),0))))))))</f>
        <v>0</v>
      </c>
      <c r="S58" s="187">
        <f t="shared" si="3"/>
        <v>0</v>
      </c>
      <c r="T58" s="248"/>
      <c r="U58" s="248"/>
      <c r="V58" s="248"/>
      <c r="W58" s="248"/>
      <c r="X58" s="248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</row>
    <row r="59" spans="1:51" hidden="1" x14ac:dyDescent="0.2">
      <c r="A59" s="92">
        <v>24</v>
      </c>
      <c r="B59" s="381">
        <f t="shared" si="2"/>
        <v>0</v>
      </c>
      <c r="C59" s="382"/>
      <c r="D59" s="199" t="s">
        <v>52</v>
      </c>
      <c r="E59" s="226" t="str">
        <f>IF($D59='W1'!$A$59,'W1'!B$59,IF($D59='W1'!$A$60,'W1'!B$60,IF($D59='W1'!$A$61,'W1'!B$61,IF($D59='W1'!$A$62,'W1'!B$62,IF($D59='W1'!$A$63,'W1'!B$63,IF($D59='W1'!$A$64,'W1'!B$64,IF($D59='W1'!$A$65,'W1'!B$65,IF($D59='W1'!$A$66,'W1'!B$66,IF($D59='W1'!$A$67,'W1'!B$67,IF($D59='W1'!$A$68,'W1'!B298,IF($D59='W1'!$A$69,'W1'!B298,IF($D59='W1'!$A$70,'W1'!B298,IF($D59='W1'!$A$71,"")))))))))))))</f>
        <v/>
      </c>
      <c r="F59" s="378" t="str">
        <f>IF($D59='W1'!$A$59,'W1'!C$59,IF($D59='W1'!$A$60,'W1'!C$60,IF($D59='W1'!$A$61,'W1'!C$61,IF($D59='W1'!$A$62,'W1'!C$62,IF($D59='W1'!$A$63,'W1'!C$63,IF($D59='W1'!$A$64,'W1'!C$64,IF($D59='W1'!$A$65,'W1'!C$65,IF($D59='W1'!$A$66,'W1'!C$66,IF($D59='W1'!$A$67,'W1'!C$67,IF($D59='W1'!$A$68,'W1'!D298,IF($D59='W1'!$A$69,'W1'!D298,IF($D59='W1'!$A$70,'W1'!D298,IF($D59='W1'!$A$71,"")))))))))))))</f>
        <v/>
      </c>
      <c r="G59" s="379"/>
      <c r="H59" s="366" t="str">
        <f>IF($D59='W1'!$A$59,'W1'!D$59,IF($D59='W1'!$A$60,'W1'!D$60,IF($D59='W1'!$A$61,'W1'!D$61,IF($D59='W1'!$A$62,'W1'!D$62,IF($D59='W1'!$A$63,'W1'!D$63,IF($D59='W1'!$A$64,'W1'!D$64,IF($D59='W1'!$A$65,'W1'!D$65,IF($D59='W1'!$A$66,'W1'!D$66,IF($D59='W1'!$A$67,'W1'!D$67,IF($D59='W1'!$A$68,'W1'!F298,IF($D59='W1'!$A$69,'W1'!F298,IF($D59='W1'!$A$70,'W1'!F298,IF($D59='W1'!$A$71,"")))))))))))))</f>
        <v/>
      </c>
      <c r="I59" s="367"/>
      <c r="J59" s="366" t="str">
        <f>IF($D59='W1'!$A$59,'W1'!E$59,IF($D59='W1'!$A$60,'W1'!E$60,IF($D59='W1'!$A$61,'W1'!E$61,IF($D59='W1'!$A$62,'W1'!E$62,IF($D59='W1'!$A$63,'W1'!E$63,IF($D59='W1'!$A$64,'W1'!E$64,IF($D59='W1'!$A$65,'W1'!E$65,IF($D59='W1'!$A$66,'W1'!E$66,IF($D59='W1'!$A$67,'W1'!E$67,IF($D59='W1'!$A$68,'W1'!H298,IF($D59='W1'!$A$69,'W1'!H298,IF($D59='W1'!$A$70,'W1'!H298,IF($D59='W1'!$A$71,"")))))))))))))</f>
        <v/>
      </c>
      <c r="K59" s="367"/>
      <c r="L59" s="366" t="str">
        <f>IF($D59='W1'!$A$59,'W1'!F$59,IF($D59='W1'!$A$60,'W1'!F$60,IF($D59='W1'!$A$61,'W1'!F$61,IF($D59='W1'!$A$62,'W1'!F$62,IF($D59='W1'!$A$63,'W1'!F$63,IF($D59='W1'!$A$64,'W1'!F$64,IF($D59='W1'!$A$65,'W1'!F$65,IF($D59='W1'!$A$66,'W1'!F$66,IF($D59='W1'!$A$67,'W1'!F$67,IF($D59='W1'!$A$68,'W1'!J298,IF($D59='W1'!$A$69,'W1'!J298,IF($D59='W1'!$A$70,'W1'!J298,IF($D59='W1'!$A$71,"")))))))))))))</f>
        <v/>
      </c>
      <c r="M59" s="367"/>
      <c r="N59" s="187">
        <f>IF(N31=0,0,IF(AND($D59="F-SMRA",N31=0),0,IF(AND($D59="F-SMRB",N31=0),0,IF(AND($D59="F-SMRC",N31=0),0,IF($D59='W1'!$A$68,'W1'!B324,IF($D59='W1'!$A$69,'W1'!B324,IF($D59='W1'!$A$70,'W1'!B324,ROUND(('Pilot Project Budget'!N31/'W1'!$C$5*'W1'!$C$9*(IF('Pilot Project Budget'!$D59='W1'!$A$47,'W1'!B$47,IF('Pilot Project Budget'!$D59='W1'!$A$48,'W1'!B$48,IF('Pilot Project Budget'!$D59='W1'!$A$49,'W1'!B$49,IF('Pilot Project Budget'!$D59='W1'!$A$50,'W1'!B$50,IF('Pilot Project Budget'!$D59='W1'!$A$51,'W1'!B$51,IF('Pilot Project Budget'!$D59='W1'!$A$52,'W1'!B$52,IF('Pilot Project Budget'!$D59='W1'!$A$53,'W1'!B$53,IF('Pilot Project Budget'!$D59='W1'!$A$54,'W1'!B$54,IF('Pilot Project Budget'!$D59='W1'!$A$55,'W1'!B$55))))))))))),0)+ROUND(N31/'W1'!$C$5*'W1'!$C$10*(IF('Pilot Project Budget'!$D59='W1'!$A$47,'W1'!C$47,IF('Pilot Project Budget'!$D59='W1'!$A$48,'W1'!C$48,IF('Pilot Project Budget'!$D59='W1'!$A$49,'W1'!C$49,IF('Pilot Project Budget'!$D59='W1'!$A$50,'W1'!C$50,IF('Pilot Project Budget'!$D59='W1'!$A$51,'W1'!C$51,IF('Pilot Project Budget'!$D59='W1'!$A$52,'W1'!C$52,IF('Pilot Project Budget'!$D59='W1'!$A$53,'W1'!C$53,IF('Pilot Project Budget'!$D59='W1'!$A$54,'W1'!C$54,IF('Pilot Project Budget'!$D59='W1'!$A$55,'W1'!C$55)))))))))),0))))))))</f>
        <v>0</v>
      </c>
      <c r="O59" s="187">
        <f>IF(O31=0,0,IF(AND($D59="F-SMRA",O31=0),0,IF(AND($D59="F-SMRB",O31=0),0,IF(AND($D59="F-SMRC",O31=0),0,IF($D59='W1'!$A$68,'W1'!D324,IF($D59='W1'!$A$69,'W1'!D324,IF($D59='W1'!$A$70,'W1'!D324,ROUND(('Pilot Project Budget'!O31/'W1'!$D$5*'W1'!$D$9*(IF('Pilot Project Budget'!$D59='W1'!$A$47,'W1'!D$47,IF('Pilot Project Budget'!$D59='W1'!$A$48,'W1'!D$48,IF('Pilot Project Budget'!$D59='W1'!$A$49,'W1'!D$49,IF('Pilot Project Budget'!$D59='W1'!$A$50,'W1'!D$50,IF('Pilot Project Budget'!$D59='W1'!$A$51,'W1'!D$51,IF('Pilot Project Budget'!$D59='W1'!$A$52,'W1'!D$52,IF('Pilot Project Budget'!$D59='W1'!$A$53,'W1'!D$53,IF('Pilot Project Budget'!$D59='W1'!$A$54,'W1'!D$54,IF('Pilot Project Budget'!$D59='W1'!$A$55,'W1'!D$55))))))))))),0)+ROUND(O31/'W1'!$D$5*'W1'!$D$10*(IF('Pilot Project Budget'!$D59='W1'!$A$47,'W1'!E$47,IF('Pilot Project Budget'!$D59='W1'!$A$48,'W1'!E$48,IF('Pilot Project Budget'!$D59='W1'!$A$49,'W1'!E$49,IF('Pilot Project Budget'!$D59='W1'!$A$50,'W1'!E$50,IF('Pilot Project Budget'!$D59='W1'!$A$51,'W1'!E$51,IF('Pilot Project Budget'!$D59='W1'!$A$52,'W1'!E$52,IF('Pilot Project Budget'!$D59='W1'!$A$53,'W1'!E$53,IF('Pilot Project Budget'!$D59='W1'!$A$54,'W1'!E$54,IF('Pilot Project Budget'!$D59='W1'!$A$55,'W1'!E$55)))))))))),0))))))))</f>
        <v>0</v>
      </c>
      <c r="P59" s="187">
        <f>IF(P31=0,0,IF(AND($D59="F-SMRA",P31=0),0,IF(AND($D59="F-SMRB",P31=0),0,IF(AND($D59="F-SMRC",P31=0),0,IF($D59='W1'!$A$68,'W1'!F324,IF($D59='W1'!$A$69,'W1'!F324,IF($D59='W1'!$A$70,'W1'!F324,ROUND(('Pilot Project Budget'!P31/'W1'!$E$5*'W1'!$E$9*(IF('Pilot Project Budget'!$D59='W1'!$A$47,'W1'!F$47,IF('Pilot Project Budget'!$D59='W1'!$A$48,'W1'!F$48,IF('Pilot Project Budget'!$D59='W1'!$A$49,'W1'!F$49,IF('Pilot Project Budget'!$D59='W1'!$A$50,'W1'!F$50,IF('Pilot Project Budget'!$D59='W1'!$A$51,'W1'!F$51,IF('Pilot Project Budget'!$D59='W1'!$A$52,'W1'!F$52,IF('Pilot Project Budget'!$D59='W1'!$A$53,'W1'!F$53,IF('Pilot Project Budget'!$D59='W1'!$A$54,'W1'!F$54,IF('Pilot Project Budget'!$D59='W1'!$A$55,'W1'!F$55))))))))))),0)+ROUND(P31/'W1'!$E$5*'W1'!$E$10*(IF('Pilot Project Budget'!$D59='W1'!$A$47,'W1'!G$47,IF('Pilot Project Budget'!$D59='W1'!$A$48,'W1'!G$48,IF('Pilot Project Budget'!$D59='W1'!$A$49,'W1'!G$49,IF('Pilot Project Budget'!$D59='W1'!$A$50,'W1'!G$50,IF('Pilot Project Budget'!$D59='W1'!$A$51,'W1'!G$51,IF('Pilot Project Budget'!$D59='W1'!$A$52,'W1'!G$52,IF('Pilot Project Budget'!$D59='W1'!$A$53,'W1'!G$53,IF('Pilot Project Budget'!$D59='W1'!$A$54,'W1'!G$54,IF('Pilot Project Budget'!$D59='W1'!$A$55,'W1'!G$55)))))))))),0))))))))</f>
        <v>0</v>
      </c>
      <c r="Q59" s="187">
        <f>IF(Q31=0,0,IF(AND($D59="F-SMRA",Q31=0),0,IF(AND($D59="F-SMRB",Q31=0),0,IF(AND($D59="F-SMRC",Q31=0),0,IF($D59='W1'!$A$68,'W1'!H324,IF($D59='W1'!$A$69,'W1'!H324,IF($D59='W1'!$A$70,'W1'!H324,ROUND(('Pilot Project Budget'!Q31/'W1'!$F$5*'W1'!$F$9*(IF('Pilot Project Budget'!$D59='W1'!$A$47,'W1'!H$47,IF('Pilot Project Budget'!$D59='W1'!$A$48,'W1'!H$48,IF('Pilot Project Budget'!$D59='W1'!$A$49,'W1'!H$49,IF('Pilot Project Budget'!$D59='W1'!$A$50,'W1'!H$50,IF('Pilot Project Budget'!$D59='W1'!$A$51,'W1'!H$51,IF('Pilot Project Budget'!$D59='W1'!$A$52,'W1'!H$52,IF('Pilot Project Budget'!$D59='W1'!$A$53,'W1'!H$53,IF('Pilot Project Budget'!$D59='W1'!$A$54,'W1'!H$54,IF('Pilot Project Budget'!$D59='W1'!$A$55,'W1'!H$55))))))))))),0)+ROUND(Q31/'W1'!$F$5*'W1'!$F$10*(IF('Pilot Project Budget'!$D59='W1'!$A$47,'W1'!I$47,IF('Pilot Project Budget'!$D59='W1'!$A$48,'W1'!I$48,IF('Pilot Project Budget'!$D59='W1'!$A$49,'W1'!I$49,IF('Pilot Project Budget'!$D59='W1'!$A$50,'W1'!I$50,IF('Pilot Project Budget'!$D59='W1'!$A$51,'W1'!I$51,IF('Pilot Project Budget'!$D59='W1'!$A$52,'W1'!I$52,IF('Pilot Project Budget'!$D59='W1'!$A$53,'W1'!I$53,IF('Pilot Project Budget'!$D59='W1'!$A$54,'W1'!I$54,IF('Pilot Project Budget'!$D59='W1'!$A$55,'W1'!I$55)))))))))),0))))))))</f>
        <v>0</v>
      </c>
      <c r="R59" s="187">
        <f>IF(R31=0,0,IF(AND($D59="F-SMRA",R31=0),0,IF(AND($D59="F-SMRB",R31=0),0,IF(AND($D59="F-SMRC",R31=0),0,IF($D59='W1'!$A$68,'W1'!J324,IF($D59='W1'!$A$69,'W1'!J324,IF($D59='W1'!$A$70,'W1'!J324,ROUND(('Pilot Project Budget'!R31/'W1'!$G$5*'W1'!$G$9*(IF('Pilot Project Budget'!$D59='W1'!$A$47,'W1'!J$47,IF('Pilot Project Budget'!$D59='W1'!$A$48,'W1'!J$48,IF('Pilot Project Budget'!$D59='W1'!$A$49,'W1'!J$49,IF('Pilot Project Budget'!$D59='W1'!$A$50,'W1'!J$50,IF('Pilot Project Budget'!$D59='W1'!$A$51,'W1'!J$51,IF('Pilot Project Budget'!$D59='W1'!$A$52,'W1'!J$52,IF('Pilot Project Budget'!$D59='W1'!$A$53,'W1'!J$53,IF('Pilot Project Budget'!$D59='W1'!$A$54,'W1'!J$54,IF('Pilot Project Budget'!$D59='W1'!$A$55,'W1'!J$55))))))))))),0)+ROUND(R31/'W1'!$G$5*'W1'!$G$10*(IF('Pilot Project Budget'!$D59='W1'!$A$47,'W1'!K$47,IF('Pilot Project Budget'!$D59='W1'!$A$48,'W1'!K$48,IF('Pilot Project Budget'!$D59='W1'!$A$49,'W1'!K$49,IF('Pilot Project Budget'!$D59='W1'!$A$50,'W1'!K$50,IF('Pilot Project Budget'!$D59='W1'!$A$51,'W1'!K$51,IF('Pilot Project Budget'!$D59='W1'!$A$52,'W1'!K$52,IF('Pilot Project Budget'!$D59='W1'!$A$53,'W1'!K$53,IF('Pilot Project Budget'!$D59='W1'!$A$54,'W1'!K$54,IF('Pilot Project Budget'!$D59='W1'!$A$55,'W1'!K$55)))))))))),0))))))))</f>
        <v>0</v>
      </c>
      <c r="S59" s="187">
        <f t="shared" si="3"/>
        <v>0</v>
      </c>
      <c r="T59" s="248"/>
      <c r="U59" s="248"/>
      <c r="V59" s="248"/>
      <c r="W59" s="248"/>
      <c r="X59" s="248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spans="1:51" x14ac:dyDescent="0.2">
      <c r="A60" s="360" t="s">
        <v>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2"/>
      <c r="N60" s="201">
        <f>ROUND(SUM(N36:N59),0)</f>
        <v>0</v>
      </c>
      <c r="O60" s="201">
        <f t="shared" ref="O60:S60" si="4">SUM(O36:O59)</f>
        <v>0</v>
      </c>
      <c r="P60" s="201">
        <f t="shared" si="4"/>
        <v>0</v>
      </c>
      <c r="Q60" s="201">
        <f t="shared" si="4"/>
        <v>0</v>
      </c>
      <c r="R60" s="201">
        <f t="shared" si="4"/>
        <v>0</v>
      </c>
      <c r="S60" s="201">
        <f t="shared" si="4"/>
        <v>0</v>
      </c>
      <c r="T60" s="249"/>
      <c r="U60" s="249"/>
      <c r="V60" s="249"/>
      <c r="W60" s="249"/>
      <c r="X60" s="249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</row>
    <row r="61" spans="1:51" x14ac:dyDescent="0.2">
      <c r="A61" s="363" t="s">
        <v>21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5"/>
      <c r="N61" s="202">
        <f t="shared" ref="N61:S61" si="5">N32+N60</f>
        <v>0</v>
      </c>
      <c r="O61" s="202">
        <f t="shared" si="5"/>
        <v>0</v>
      </c>
      <c r="P61" s="202">
        <f t="shared" si="5"/>
        <v>0</v>
      </c>
      <c r="Q61" s="202">
        <f t="shared" si="5"/>
        <v>0</v>
      </c>
      <c r="R61" s="202">
        <f t="shared" si="5"/>
        <v>0</v>
      </c>
      <c r="S61" s="202">
        <f t="shared" si="5"/>
        <v>0</v>
      </c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</row>
    <row r="62" spans="1:51" x14ac:dyDescent="0.2"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x14ac:dyDescent="0.2">
      <c r="A63" s="346" t="s">
        <v>241</v>
      </c>
      <c r="B63" s="347"/>
      <c r="C63" s="34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06"/>
      <c r="O63" s="106"/>
      <c r="P63" s="106"/>
      <c r="Q63" s="106"/>
      <c r="R63" s="106"/>
      <c r="S63" s="106" t="str">
        <f t="shared" ref="S63" si="6">S35</f>
        <v>Total</v>
      </c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x14ac:dyDescent="0.2">
      <c r="A64" s="231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204"/>
      <c r="P64" s="204"/>
      <c r="Q64" s="204"/>
      <c r="R64" s="204"/>
      <c r="S64" s="87">
        <f>SUM(N64:R64)</f>
        <v>0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x14ac:dyDescent="0.2">
      <c r="A65" s="231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204"/>
      <c r="P65" s="204"/>
      <c r="Q65" s="204"/>
      <c r="R65" s="204"/>
      <c r="S65" s="87">
        <f t="shared" ref="S65:S72" si="7">SUM(N65:R65)</f>
        <v>0</v>
      </c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x14ac:dyDescent="0.2">
      <c r="A66" s="231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  <c r="O66" s="204"/>
      <c r="P66" s="204"/>
      <c r="Q66" s="204"/>
      <c r="R66" s="204"/>
      <c r="S66" s="87">
        <f t="shared" si="7"/>
        <v>0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idden="1" x14ac:dyDescent="0.2">
      <c r="A67" s="231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4"/>
      <c r="O67" s="204"/>
      <c r="P67" s="204"/>
      <c r="Q67" s="204"/>
      <c r="R67" s="204"/>
      <c r="S67" s="87">
        <f t="shared" si="7"/>
        <v>0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idden="1" x14ac:dyDescent="0.2">
      <c r="A68" s="231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4"/>
      <c r="S68" s="87">
        <f t="shared" si="7"/>
        <v>0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idden="1" x14ac:dyDescent="0.2">
      <c r="A69" s="231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4"/>
      <c r="P69" s="204"/>
      <c r="Q69" s="204"/>
      <c r="R69" s="204"/>
      <c r="S69" s="87">
        <f t="shared" si="7"/>
        <v>0</v>
      </c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idden="1" x14ac:dyDescent="0.2">
      <c r="A70" s="231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204"/>
      <c r="P70" s="204"/>
      <c r="Q70" s="204"/>
      <c r="R70" s="204"/>
      <c r="S70" s="87">
        <f t="shared" si="7"/>
        <v>0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hidden="1" x14ac:dyDescent="0.2">
      <c r="A71" s="231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204"/>
      <c r="P71" s="204"/>
      <c r="Q71" s="204"/>
      <c r="R71" s="204"/>
      <c r="S71" s="87">
        <f t="shared" si="7"/>
        <v>0</v>
      </c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hidden="1" x14ac:dyDescent="0.2">
      <c r="A72" s="231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204"/>
      <c r="P72" s="204"/>
      <c r="Q72" s="204"/>
      <c r="R72" s="204"/>
      <c r="S72" s="87">
        <f t="shared" si="7"/>
        <v>0</v>
      </c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x14ac:dyDescent="0.2">
      <c r="A73" s="348" t="s">
        <v>154</v>
      </c>
      <c r="B73" s="349"/>
      <c r="C73" s="3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50">
        <f>SUM(N64:N72)</f>
        <v>0</v>
      </c>
      <c r="O73" s="150">
        <f t="shared" ref="O73:R73" si="8">SUM(O64:O72)</f>
        <v>0</v>
      </c>
      <c r="P73" s="150">
        <f t="shared" si="8"/>
        <v>0</v>
      </c>
      <c r="Q73" s="150">
        <f t="shared" si="8"/>
        <v>0</v>
      </c>
      <c r="R73" s="150">
        <f t="shared" si="8"/>
        <v>0</v>
      </c>
      <c r="S73" s="150">
        <f>SUM(S64:S72)</f>
        <v>0</v>
      </c>
      <c r="T73" s="250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x14ac:dyDescent="0.2">
      <c r="A74" s="93"/>
      <c r="B74" s="62"/>
      <c r="C74" s="62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x14ac:dyDescent="0.2">
      <c r="A75" s="346" t="s">
        <v>65</v>
      </c>
      <c r="B75" s="347"/>
      <c r="C75" s="347"/>
      <c r="D75" s="55"/>
      <c r="E75" s="55"/>
      <c r="F75" s="55"/>
      <c r="G75" s="55"/>
      <c r="H75" s="55"/>
      <c r="I75" s="55"/>
      <c r="J75" s="55"/>
      <c r="K75" s="402" t="s">
        <v>140</v>
      </c>
      <c r="L75" s="402"/>
      <c r="M75" s="403"/>
      <c r="N75" s="106"/>
      <c r="O75" s="106"/>
      <c r="P75" s="106"/>
      <c r="Q75" s="106"/>
      <c r="R75" s="106"/>
      <c r="S75" s="106" t="str">
        <f t="shared" ref="S75" si="9">S63</f>
        <v>Total</v>
      </c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x14ac:dyDescent="0.2">
      <c r="A76" s="231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190" t="s">
        <v>192</v>
      </c>
      <c r="N76" s="204"/>
      <c r="O76" s="204"/>
      <c r="P76" s="204"/>
      <c r="Q76" s="204"/>
      <c r="R76" s="204"/>
      <c r="S76" s="86">
        <f>SUM(N76:R76)</f>
        <v>0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x14ac:dyDescent="0.2">
      <c r="A77" s="231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190" t="s">
        <v>192</v>
      </c>
      <c r="N77" s="204"/>
      <c r="O77" s="204"/>
      <c r="P77" s="204"/>
      <c r="Q77" s="204"/>
      <c r="R77" s="204"/>
      <c r="S77" s="86">
        <f t="shared" ref="S77:S83" si="10">SUM(N77:R77)</f>
        <v>0</v>
      </c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x14ac:dyDescent="0.2">
      <c r="A78" s="231" t="s">
        <v>189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190" t="s">
        <v>192</v>
      </c>
      <c r="N78" s="204"/>
      <c r="O78" s="204"/>
      <c r="P78" s="204"/>
      <c r="Q78" s="204"/>
      <c r="R78" s="204"/>
      <c r="S78" s="86">
        <f t="shared" si="10"/>
        <v>0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x14ac:dyDescent="0.2">
      <c r="A79" s="231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190" t="s">
        <v>192</v>
      </c>
      <c r="N79" s="204"/>
      <c r="O79" s="204"/>
      <c r="P79" s="204"/>
      <c r="Q79" s="204"/>
      <c r="R79" s="204"/>
      <c r="S79" s="86">
        <f t="shared" si="10"/>
        <v>0</v>
      </c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hidden="1" x14ac:dyDescent="0.2">
      <c r="A80" s="231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190" t="s">
        <v>192</v>
      </c>
      <c r="N80" s="204"/>
      <c r="O80" s="204"/>
      <c r="P80" s="204"/>
      <c r="Q80" s="204"/>
      <c r="R80" s="204"/>
      <c r="S80" s="86">
        <f t="shared" si="10"/>
        <v>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hidden="1" x14ac:dyDescent="0.2">
      <c r="A81" s="231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190" t="s">
        <v>192</v>
      </c>
      <c r="N81" s="204"/>
      <c r="O81" s="204"/>
      <c r="P81" s="204"/>
      <c r="Q81" s="204"/>
      <c r="R81" s="204"/>
      <c r="S81" s="86">
        <f t="shared" si="10"/>
        <v>0</v>
      </c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idden="1" x14ac:dyDescent="0.2">
      <c r="A82" s="23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190" t="s">
        <v>192</v>
      </c>
      <c r="N82" s="204"/>
      <c r="O82" s="204"/>
      <c r="P82" s="204"/>
      <c r="Q82" s="204"/>
      <c r="R82" s="204"/>
      <c r="S82" s="86">
        <f t="shared" si="10"/>
        <v>0</v>
      </c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idden="1" x14ac:dyDescent="0.2">
      <c r="A83" s="231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190" t="s">
        <v>192</v>
      </c>
      <c r="N83" s="204"/>
      <c r="O83" s="204"/>
      <c r="P83" s="204"/>
      <c r="Q83" s="204"/>
      <c r="R83" s="204"/>
      <c r="S83" s="86">
        <f t="shared" si="10"/>
        <v>0</v>
      </c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x14ac:dyDescent="0.2">
      <c r="A84" s="346" t="s">
        <v>66</v>
      </c>
      <c r="B84" s="347"/>
      <c r="C84" s="34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89">
        <f>SUM(N76:N79)</f>
        <v>0</v>
      </c>
      <c r="O84" s="89">
        <f>SUM(O76:O79)</f>
        <v>0</v>
      </c>
      <c r="P84" s="89">
        <f>SUM(P76:P83)</f>
        <v>0</v>
      </c>
      <c r="Q84" s="89">
        <f>SUM(Q76:Q83)</f>
        <v>0</v>
      </c>
      <c r="R84" s="89">
        <f>SUM(R76:R83)</f>
        <v>0</v>
      </c>
      <c r="S84" s="89">
        <f>SUM(S76:S83)</f>
        <v>0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x14ac:dyDescent="0.2"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x14ac:dyDescent="0.2">
      <c r="A86" s="346" t="s">
        <v>67</v>
      </c>
      <c r="B86" s="347"/>
      <c r="C86" s="34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106"/>
      <c r="O86" s="106"/>
      <c r="P86" s="106"/>
      <c r="Q86" s="106"/>
      <c r="R86" s="106"/>
      <c r="S86" s="106" t="str">
        <f>S75</f>
        <v>Total</v>
      </c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x14ac:dyDescent="0.2">
      <c r="A87" s="231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5"/>
      <c r="O87" s="205"/>
      <c r="P87" s="205"/>
      <c r="Q87" s="205"/>
      <c r="R87" s="205"/>
      <c r="S87" s="86">
        <f>SUM(N87:R87)</f>
        <v>0</v>
      </c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x14ac:dyDescent="0.2">
      <c r="A88" s="231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5"/>
      <c r="O88" s="205"/>
      <c r="P88" s="205"/>
      <c r="Q88" s="205"/>
      <c r="R88" s="205"/>
      <c r="S88" s="86">
        <f t="shared" ref="S88:S120" si="11">SUM(N88:R88)</f>
        <v>0</v>
      </c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x14ac:dyDescent="0.2">
      <c r="A89" s="231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5"/>
      <c r="O89" s="205"/>
      <c r="P89" s="205"/>
      <c r="Q89" s="205"/>
      <c r="R89" s="205"/>
      <c r="S89" s="86">
        <f t="shared" si="11"/>
        <v>0</v>
      </c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x14ac:dyDescent="0.2">
      <c r="A90" s="23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5"/>
      <c r="O90" s="205"/>
      <c r="P90" s="205"/>
      <c r="Q90" s="205"/>
      <c r="R90" s="205"/>
      <c r="S90" s="86">
        <f t="shared" si="11"/>
        <v>0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x14ac:dyDescent="0.2">
      <c r="A91" s="231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5"/>
      <c r="O91" s="205"/>
      <c r="P91" s="205"/>
      <c r="Q91" s="205"/>
      <c r="R91" s="205"/>
      <c r="S91" s="86">
        <f t="shared" si="11"/>
        <v>0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x14ac:dyDescent="0.2">
      <c r="A92" s="23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5"/>
      <c r="O92" s="205"/>
      <c r="P92" s="205"/>
      <c r="Q92" s="205"/>
      <c r="R92" s="205"/>
      <c r="S92" s="86">
        <f t="shared" si="11"/>
        <v>0</v>
      </c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x14ac:dyDescent="0.2">
      <c r="A93" s="23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5"/>
      <c r="O93" s="205"/>
      <c r="P93" s="205"/>
      <c r="Q93" s="205"/>
      <c r="R93" s="205"/>
      <c r="S93" s="86">
        <f t="shared" si="11"/>
        <v>0</v>
      </c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x14ac:dyDescent="0.2">
      <c r="A94" s="23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5"/>
      <c r="O94" s="205"/>
      <c r="P94" s="205"/>
      <c r="Q94" s="205"/>
      <c r="R94" s="205"/>
      <c r="S94" s="86">
        <f t="shared" si="11"/>
        <v>0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hidden="1" x14ac:dyDescent="0.2">
      <c r="A95" s="231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5"/>
      <c r="O95" s="205"/>
      <c r="P95" s="205"/>
      <c r="Q95" s="205"/>
      <c r="R95" s="205"/>
      <c r="S95" s="86">
        <f t="shared" si="11"/>
        <v>0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hidden="1" x14ac:dyDescent="0.2">
      <c r="A96" s="231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5"/>
      <c r="O96" s="205"/>
      <c r="P96" s="205"/>
      <c r="Q96" s="205"/>
      <c r="R96" s="205"/>
      <c r="S96" s="86">
        <f t="shared" si="11"/>
        <v>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idden="1" x14ac:dyDescent="0.2">
      <c r="A97" s="23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5"/>
      <c r="O97" s="205"/>
      <c r="P97" s="205"/>
      <c r="Q97" s="205"/>
      <c r="R97" s="205"/>
      <c r="S97" s="86">
        <f t="shared" si="11"/>
        <v>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idden="1" x14ac:dyDescent="0.2">
      <c r="A98" s="23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5"/>
      <c r="O98" s="205"/>
      <c r="P98" s="205"/>
      <c r="Q98" s="205"/>
      <c r="R98" s="205"/>
      <c r="S98" s="86">
        <f t="shared" si="11"/>
        <v>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idden="1" x14ac:dyDescent="0.2">
      <c r="A99" s="231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5"/>
      <c r="O99" s="205"/>
      <c r="P99" s="205"/>
      <c r="Q99" s="205"/>
      <c r="R99" s="205"/>
      <c r="S99" s="86">
        <f t="shared" si="11"/>
        <v>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idden="1" x14ac:dyDescent="0.2">
      <c r="A100" s="231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5"/>
      <c r="O100" s="205"/>
      <c r="P100" s="205"/>
      <c r="Q100" s="205"/>
      <c r="R100" s="205"/>
      <c r="S100" s="86">
        <f t="shared" si="11"/>
        <v>0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idden="1" x14ac:dyDescent="0.2">
      <c r="A101" s="231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5"/>
      <c r="O101" s="205"/>
      <c r="P101" s="205"/>
      <c r="Q101" s="205"/>
      <c r="R101" s="205"/>
      <c r="S101" s="86">
        <f t="shared" si="11"/>
        <v>0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idden="1" x14ac:dyDescent="0.2">
      <c r="A102" s="23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5"/>
      <c r="O102" s="205"/>
      <c r="P102" s="205"/>
      <c r="Q102" s="205"/>
      <c r="R102" s="205"/>
      <c r="S102" s="86">
        <f t="shared" si="11"/>
        <v>0</v>
      </c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hidden="1" x14ac:dyDescent="0.2">
      <c r="A103" s="23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5"/>
      <c r="O103" s="205"/>
      <c r="P103" s="205"/>
      <c r="Q103" s="205"/>
      <c r="R103" s="205"/>
      <c r="S103" s="86">
        <f t="shared" si="11"/>
        <v>0</v>
      </c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</row>
    <row r="104" spans="1:51" hidden="1" x14ac:dyDescent="0.2">
      <c r="A104" s="231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5"/>
      <c r="O104" s="205"/>
      <c r="P104" s="205"/>
      <c r="Q104" s="205"/>
      <c r="R104" s="205"/>
      <c r="S104" s="86">
        <f t="shared" si="11"/>
        <v>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</row>
    <row r="105" spans="1:51" hidden="1" x14ac:dyDescent="0.2">
      <c r="A105" s="231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5"/>
      <c r="O105" s="205"/>
      <c r="P105" s="205"/>
      <c r="Q105" s="205"/>
      <c r="R105" s="205"/>
      <c r="S105" s="86">
        <f t="shared" si="11"/>
        <v>0</v>
      </c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</row>
    <row r="106" spans="1:51" hidden="1" x14ac:dyDescent="0.2">
      <c r="A106" s="23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5"/>
      <c r="O106" s="205"/>
      <c r="P106" s="205"/>
      <c r="Q106" s="205"/>
      <c r="R106" s="205"/>
      <c r="S106" s="86">
        <f t="shared" si="11"/>
        <v>0</v>
      </c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</row>
    <row r="107" spans="1:51" hidden="1" x14ac:dyDescent="0.2">
      <c r="A107" s="231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5"/>
      <c r="O107" s="205"/>
      <c r="P107" s="205"/>
      <c r="Q107" s="205"/>
      <c r="R107" s="205"/>
      <c r="S107" s="86">
        <f t="shared" si="11"/>
        <v>0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</row>
    <row r="108" spans="1:51" hidden="1" x14ac:dyDescent="0.2">
      <c r="A108" s="231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5"/>
      <c r="O108" s="205"/>
      <c r="P108" s="205"/>
      <c r="Q108" s="205"/>
      <c r="R108" s="205"/>
      <c r="S108" s="86">
        <f t="shared" si="11"/>
        <v>0</v>
      </c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</row>
    <row r="109" spans="1:51" hidden="1" x14ac:dyDescent="0.2">
      <c r="A109" s="231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5"/>
      <c r="O109" s="205"/>
      <c r="P109" s="205"/>
      <c r="Q109" s="205"/>
      <c r="R109" s="205"/>
      <c r="S109" s="86">
        <f t="shared" si="11"/>
        <v>0</v>
      </c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</row>
    <row r="110" spans="1:51" hidden="1" x14ac:dyDescent="0.2">
      <c r="A110" s="231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5"/>
      <c r="O110" s="205"/>
      <c r="P110" s="205"/>
      <c r="Q110" s="205"/>
      <c r="R110" s="205"/>
      <c r="S110" s="86">
        <f t="shared" si="11"/>
        <v>0</v>
      </c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</row>
    <row r="111" spans="1:51" hidden="1" x14ac:dyDescent="0.2">
      <c r="A111" s="23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5"/>
      <c r="O111" s="205"/>
      <c r="P111" s="205"/>
      <c r="Q111" s="205"/>
      <c r="R111" s="205"/>
      <c r="S111" s="86">
        <f t="shared" si="11"/>
        <v>0</v>
      </c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</row>
    <row r="112" spans="1:51" hidden="1" x14ac:dyDescent="0.2">
      <c r="A112" s="231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5"/>
      <c r="O112" s="205"/>
      <c r="P112" s="205"/>
      <c r="Q112" s="205"/>
      <c r="R112" s="205"/>
      <c r="S112" s="86">
        <f t="shared" si="11"/>
        <v>0</v>
      </c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</row>
    <row r="113" spans="1:51" hidden="1" x14ac:dyDescent="0.2">
      <c r="A113" s="231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5"/>
      <c r="O113" s="205"/>
      <c r="P113" s="205"/>
      <c r="Q113" s="205"/>
      <c r="R113" s="205"/>
      <c r="S113" s="86">
        <f t="shared" si="11"/>
        <v>0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</row>
    <row r="114" spans="1:51" hidden="1" x14ac:dyDescent="0.2">
      <c r="A114" s="231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5"/>
      <c r="O114" s="205"/>
      <c r="P114" s="205"/>
      <c r="Q114" s="205"/>
      <c r="R114" s="205"/>
      <c r="S114" s="86">
        <f t="shared" si="11"/>
        <v>0</v>
      </c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</row>
    <row r="115" spans="1:51" hidden="1" x14ac:dyDescent="0.2">
      <c r="A115" s="231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5"/>
      <c r="O115" s="205"/>
      <c r="P115" s="205"/>
      <c r="Q115" s="205"/>
      <c r="R115" s="205"/>
      <c r="S115" s="86">
        <f t="shared" si="11"/>
        <v>0</v>
      </c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</row>
    <row r="116" spans="1:51" hidden="1" x14ac:dyDescent="0.2">
      <c r="A116" s="23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5"/>
      <c r="O116" s="205"/>
      <c r="P116" s="205"/>
      <c r="Q116" s="205"/>
      <c r="R116" s="205"/>
      <c r="S116" s="86">
        <f t="shared" si="11"/>
        <v>0</v>
      </c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</row>
    <row r="117" spans="1:51" hidden="1" x14ac:dyDescent="0.2">
      <c r="A117" s="231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5"/>
      <c r="O117" s="205"/>
      <c r="P117" s="205"/>
      <c r="Q117" s="205"/>
      <c r="R117" s="205"/>
      <c r="S117" s="86">
        <f t="shared" si="11"/>
        <v>0</v>
      </c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</row>
    <row r="118" spans="1:51" hidden="1" x14ac:dyDescent="0.2">
      <c r="A118" s="231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5"/>
      <c r="O118" s="205"/>
      <c r="P118" s="205"/>
      <c r="Q118" s="205"/>
      <c r="R118" s="205"/>
      <c r="S118" s="86">
        <f t="shared" si="11"/>
        <v>0</v>
      </c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</row>
    <row r="119" spans="1:51" hidden="1" x14ac:dyDescent="0.2">
      <c r="A119" s="231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5"/>
      <c r="O119" s="205"/>
      <c r="P119" s="205"/>
      <c r="Q119" s="205"/>
      <c r="R119" s="205"/>
      <c r="S119" s="86">
        <f t="shared" si="11"/>
        <v>0</v>
      </c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</row>
    <row r="120" spans="1:51" hidden="1" x14ac:dyDescent="0.2">
      <c r="A120" s="231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5"/>
      <c r="O120" s="205"/>
      <c r="P120" s="205"/>
      <c r="Q120" s="205"/>
      <c r="R120" s="205"/>
      <c r="S120" s="86">
        <f t="shared" si="11"/>
        <v>0</v>
      </c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</row>
    <row r="121" spans="1:51" x14ac:dyDescent="0.2">
      <c r="A121" s="348" t="s">
        <v>68</v>
      </c>
      <c r="B121" s="349"/>
      <c r="C121" s="3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53">
        <f>SUM(N87:N120)</f>
        <v>0</v>
      </c>
      <c r="O121" s="153">
        <f t="shared" ref="O121" si="12">SUM(O87:O120)</f>
        <v>0</v>
      </c>
      <c r="P121" s="153">
        <f t="shared" ref="P121" si="13">SUM(P87:P120)</f>
        <v>0</v>
      </c>
      <c r="Q121" s="153">
        <f t="shared" ref="Q121" si="14">SUM(Q87:Q120)</f>
        <v>0</v>
      </c>
      <c r="R121" s="153">
        <f t="shared" ref="R121" si="15">SUM(R87:R120)</f>
        <v>0</v>
      </c>
      <c r="S121" s="153">
        <f>SUM(S87:S120)</f>
        <v>0</v>
      </c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</row>
    <row r="122" spans="1:51" x14ac:dyDescent="0.2"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</row>
    <row r="123" spans="1:51" x14ac:dyDescent="0.2">
      <c r="A123" s="346" t="s">
        <v>69</v>
      </c>
      <c r="B123" s="347"/>
      <c r="C123" s="347"/>
      <c r="D123" s="55"/>
      <c r="E123" s="55"/>
      <c r="F123" s="55"/>
      <c r="G123" s="55"/>
      <c r="H123" s="55"/>
      <c r="I123" s="55"/>
      <c r="J123" s="55"/>
      <c r="K123" s="350" t="s">
        <v>188</v>
      </c>
      <c r="L123" s="351"/>
      <c r="M123" s="352"/>
      <c r="N123" s="106"/>
      <c r="O123" s="106"/>
      <c r="P123" s="106"/>
      <c r="Q123" s="106"/>
      <c r="R123" s="106"/>
      <c r="S123" s="106" t="str">
        <f t="shared" ref="S123" si="16">S86</f>
        <v>Total</v>
      </c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</row>
    <row r="124" spans="1:51" x14ac:dyDescent="0.2">
      <c r="A124" s="231"/>
      <c r="B124" s="203" t="s">
        <v>243</v>
      </c>
      <c r="C124" s="203"/>
      <c r="D124" s="203"/>
      <c r="E124" s="203"/>
      <c r="F124" s="203"/>
      <c r="G124" s="203"/>
      <c r="H124" s="203"/>
      <c r="I124" s="203"/>
      <c r="J124" s="203"/>
      <c r="K124" s="343" t="s">
        <v>111</v>
      </c>
      <c r="L124" s="344"/>
      <c r="M124" s="345"/>
      <c r="N124" s="206">
        <f>'Subcontract 1'!N138</f>
        <v>0</v>
      </c>
      <c r="O124" s="206">
        <f>'Subcontract 1'!O138</f>
        <v>0</v>
      </c>
      <c r="P124" s="206"/>
      <c r="Q124" s="206"/>
      <c r="R124" s="206"/>
      <c r="S124" s="86">
        <f>SUM(N124:R124)</f>
        <v>0</v>
      </c>
      <c r="T124" s="249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</row>
    <row r="125" spans="1:51" x14ac:dyDescent="0.2">
      <c r="A125" s="231"/>
      <c r="B125" s="203" t="s">
        <v>244</v>
      </c>
      <c r="C125" s="203"/>
      <c r="D125" s="203"/>
      <c r="E125" s="203"/>
      <c r="F125" s="203"/>
      <c r="G125" s="203"/>
      <c r="H125" s="203"/>
      <c r="I125" s="203"/>
      <c r="J125" s="203"/>
      <c r="K125" s="343" t="s">
        <v>111</v>
      </c>
      <c r="L125" s="344"/>
      <c r="M125" s="345"/>
      <c r="N125" s="206">
        <f>'Subcontract 2'!N138</f>
        <v>0</v>
      </c>
      <c r="O125" s="206">
        <f>'Subcontract 2'!O138</f>
        <v>0</v>
      </c>
      <c r="P125" s="206"/>
      <c r="Q125" s="206"/>
      <c r="R125" s="206"/>
      <c r="S125" s="86">
        <f t="shared" ref="S125:S138" si="17">SUM(N125:R125)</f>
        <v>0</v>
      </c>
      <c r="T125" s="249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</row>
    <row r="126" spans="1:51" x14ac:dyDescent="0.2">
      <c r="A126" s="231"/>
      <c r="B126" s="203"/>
      <c r="C126" s="203"/>
      <c r="D126" s="203"/>
      <c r="E126" s="203"/>
      <c r="F126" s="203"/>
      <c r="G126" s="203"/>
      <c r="H126" s="203"/>
      <c r="I126" s="203"/>
      <c r="J126" s="203"/>
      <c r="K126" s="343" t="s">
        <v>111</v>
      </c>
      <c r="L126" s="344"/>
      <c r="M126" s="345"/>
      <c r="N126" s="206"/>
      <c r="O126" s="206"/>
      <c r="P126" s="206"/>
      <c r="Q126" s="206"/>
      <c r="R126" s="206"/>
      <c r="S126" s="86">
        <f t="shared" si="17"/>
        <v>0</v>
      </c>
      <c r="T126" s="249"/>
      <c r="U126" s="249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</row>
    <row r="127" spans="1:51" x14ac:dyDescent="0.2">
      <c r="A127" s="231"/>
      <c r="B127" s="203"/>
      <c r="C127" s="203"/>
      <c r="D127" s="203"/>
      <c r="E127" s="203"/>
      <c r="F127" s="203"/>
      <c r="G127" s="203"/>
      <c r="H127" s="203"/>
      <c r="I127" s="203"/>
      <c r="J127" s="203"/>
      <c r="K127" s="343" t="s">
        <v>111</v>
      </c>
      <c r="L127" s="344"/>
      <c r="M127" s="345"/>
      <c r="N127" s="206"/>
      <c r="O127" s="206"/>
      <c r="P127" s="206"/>
      <c r="Q127" s="206"/>
      <c r="R127" s="206"/>
      <c r="S127" s="86">
        <f t="shared" si="17"/>
        <v>0</v>
      </c>
      <c r="T127" s="249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</row>
    <row r="128" spans="1:51" x14ac:dyDescent="0.2">
      <c r="A128" s="231"/>
      <c r="B128" s="203"/>
      <c r="C128" s="203"/>
      <c r="D128" s="203"/>
      <c r="E128" s="203"/>
      <c r="F128" s="203"/>
      <c r="G128" s="203"/>
      <c r="H128" s="203"/>
      <c r="I128" s="203"/>
      <c r="J128" s="203"/>
      <c r="K128" s="343" t="s">
        <v>111</v>
      </c>
      <c r="L128" s="344"/>
      <c r="M128" s="345"/>
      <c r="N128" s="206"/>
      <c r="O128" s="206"/>
      <c r="P128" s="206"/>
      <c r="Q128" s="206"/>
      <c r="R128" s="206"/>
      <c r="S128" s="86">
        <f t="shared" si="17"/>
        <v>0</v>
      </c>
      <c r="T128" s="249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</row>
    <row r="129" spans="1:51" x14ac:dyDescent="0.2">
      <c r="A129" s="231"/>
      <c r="B129" s="203"/>
      <c r="C129" s="203"/>
      <c r="D129" s="203"/>
      <c r="E129" s="203"/>
      <c r="F129" s="203"/>
      <c r="G129" s="203"/>
      <c r="H129" s="203"/>
      <c r="I129" s="203"/>
      <c r="J129" s="203"/>
      <c r="K129" s="343" t="s">
        <v>111</v>
      </c>
      <c r="L129" s="344"/>
      <c r="M129" s="345"/>
      <c r="N129" s="206"/>
      <c r="O129" s="206"/>
      <c r="P129" s="206"/>
      <c r="Q129" s="206"/>
      <c r="R129" s="206"/>
      <c r="S129" s="86">
        <f t="shared" si="17"/>
        <v>0</v>
      </c>
      <c r="T129" s="249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</row>
    <row r="130" spans="1:51" x14ac:dyDescent="0.2">
      <c r="A130" s="231"/>
      <c r="B130" s="203"/>
      <c r="C130" s="203"/>
      <c r="D130" s="203"/>
      <c r="E130" s="203"/>
      <c r="F130" s="203"/>
      <c r="G130" s="203"/>
      <c r="H130" s="203"/>
      <c r="I130" s="203"/>
      <c r="J130" s="203"/>
      <c r="K130" s="343" t="s">
        <v>111</v>
      </c>
      <c r="L130" s="344"/>
      <c r="M130" s="345"/>
      <c r="N130" s="206"/>
      <c r="O130" s="206"/>
      <c r="P130" s="206"/>
      <c r="Q130" s="206"/>
      <c r="R130" s="206"/>
      <c r="S130" s="86">
        <f t="shared" si="17"/>
        <v>0</v>
      </c>
      <c r="T130" s="249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</row>
    <row r="131" spans="1:51" hidden="1" x14ac:dyDescent="0.2">
      <c r="A131" s="231"/>
      <c r="B131" s="203"/>
      <c r="C131" s="203"/>
      <c r="D131" s="203"/>
      <c r="E131" s="203"/>
      <c r="F131" s="203"/>
      <c r="G131" s="203"/>
      <c r="H131" s="203"/>
      <c r="I131" s="203"/>
      <c r="J131" s="203"/>
      <c r="K131" s="343" t="s">
        <v>111</v>
      </c>
      <c r="L131" s="344"/>
      <c r="M131" s="345"/>
      <c r="N131" s="206"/>
      <c r="O131" s="206"/>
      <c r="P131" s="206"/>
      <c r="Q131" s="206"/>
      <c r="R131" s="206"/>
      <c r="S131" s="86">
        <f t="shared" si="17"/>
        <v>0</v>
      </c>
      <c r="T131" s="249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</row>
    <row r="132" spans="1:51" hidden="1" x14ac:dyDescent="0.2">
      <c r="A132" s="231"/>
      <c r="B132" s="203"/>
      <c r="C132" s="203"/>
      <c r="D132" s="203"/>
      <c r="E132" s="203"/>
      <c r="F132" s="203"/>
      <c r="G132" s="203"/>
      <c r="H132" s="203"/>
      <c r="I132" s="203"/>
      <c r="J132" s="203"/>
      <c r="K132" s="343" t="s">
        <v>111</v>
      </c>
      <c r="L132" s="344"/>
      <c r="M132" s="345"/>
      <c r="N132" s="206"/>
      <c r="O132" s="206"/>
      <c r="P132" s="206"/>
      <c r="Q132" s="206"/>
      <c r="R132" s="206"/>
      <c r="S132" s="86">
        <f t="shared" si="17"/>
        <v>0</v>
      </c>
      <c r="T132" s="249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</row>
    <row r="133" spans="1:51" hidden="1" x14ac:dyDescent="0.2">
      <c r="A133" s="231"/>
      <c r="B133" s="203"/>
      <c r="C133" s="203"/>
      <c r="D133" s="203"/>
      <c r="E133" s="203"/>
      <c r="F133" s="203"/>
      <c r="G133" s="203"/>
      <c r="H133" s="203"/>
      <c r="I133" s="203"/>
      <c r="J133" s="203"/>
      <c r="K133" s="343" t="s">
        <v>111</v>
      </c>
      <c r="L133" s="344"/>
      <c r="M133" s="345"/>
      <c r="N133" s="206"/>
      <c r="O133" s="206"/>
      <c r="P133" s="206"/>
      <c r="Q133" s="206"/>
      <c r="R133" s="206"/>
      <c r="S133" s="86">
        <f t="shared" si="17"/>
        <v>0</v>
      </c>
      <c r="T133" s="249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</row>
    <row r="134" spans="1:51" hidden="1" x14ac:dyDescent="0.2">
      <c r="A134" s="231"/>
      <c r="B134" s="203"/>
      <c r="C134" s="203"/>
      <c r="D134" s="203"/>
      <c r="E134" s="203"/>
      <c r="F134" s="203"/>
      <c r="G134" s="203"/>
      <c r="H134" s="203"/>
      <c r="I134" s="203"/>
      <c r="J134" s="203"/>
      <c r="K134" s="343" t="s">
        <v>111</v>
      </c>
      <c r="L134" s="344"/>
      <c r="M134" s="345"/>
      <c r="N134" s="206"/>
      <c r="O134" s="206"/>
      <c r="P134" s="206"/>
      <c r="Q134" s="206"/>
      <c r="R134" s="206"/>
      <c r="S134" s="86">
        <f t="shared" si="17"/>
        <v>0</v>
      </c>
      <c r="T134" s="249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</row>
    <row r="135" spans="1:51" hidden="1" x14ac:dyDescent="0.2">
      <c r="A135" s="231"/>
      <c r="B135" s="203"/>
      <c r="C135" s="203"/>
      <c r="D135" s="203"/>
      <c r="E135" s="203"/>
      <c r="F135" s="203"/>
      <c r="G135" s="203"/>
      <c r="H135" s="203"/>
      <c r="I135" s="203"/>
      <c r="J135" s="203"/>
      <c r="K135" s="343" t="s">
        <v>111</v>
      </c>
      <c r="L135" s="344"/>
      <c r="M135" s="345"/>
      <c r="N135" s="206"/>
      <c r="O135" s="206"/>
      <c r="P135" s="206"/>
      <c r="Q135" s="206"/>
      <c r="R135" s="206"/>
      <c r="S135" s="86">
        <f t="shared" si="17"/>
        <v>0</v>
      </c>
      <c r="T135" s="249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</row>
    <row r="136" spans="1:51" hidden="1" x14ac:dyDescent="0.2">
      <c r="A136" s="231"/>
      <c r="B136" s="203"/>
      <c r="C136" s="203"/>
      <c r="D136" s="203"/>
      <c r="E136" s="203"/>
      <c r="F136" s="203"/>
      <c r="G136" s="203"/>
      <c r="H136" s="203"/>
      <c r="I136" s="203"/>
      <c r="J136" s="203"/>
      <c r="K136" s="343" t="s">
        <v>111</v>
      </c>
      <c r="L136" s="344"/>
      <c r="M136" s="345"/>
      <c r="N136" s="206"/>
      <c r="O136" s="206"/>
      <c r="P136" s="206"/>
      <c r="Q136" s="206"/>
      <c r="R136" s="206"/>
      <c r="S136" s="86">
        <f t="shared" si="17"/>
        <v>0</v>
      </c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</row>
    <row r="137" spans="1:51" hidden="1" x14ac:dyDescent="0.2">
      <c r="A137" s="231"/>
      <c r="B137" s="203"/>
      <c r="C137" s="203"/>
      <c r="D137" s="203"/>
      <c r="E137" s="203"/>
      <c r="F137" s="203"/>
      <c r="G137" s="203"/>
      <c r="H137" s="203"/>
      <c r="I137" s="203"/>
      <c r="J137" s="203"/>
      <c r="K137" s="343" t="s">
        <v>111</v>
      </c>
      <c r="L137" s="344"/>
      <c r="M137" s="345"/>
      <c r="N137" s="206"/>
      <c r="O137" s="206"/>
      <c r="P137" s="206"/>
      <c r="Q137" s="206"/>
      <c r="R137" s="206"/>
      <c r="S137" s="86">
        <f t="shared" si="17"/>
        <v>0</v>
      </c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</row>
    <row r="138" spans="1:51" hidden="1" x14ac:dyDescent="0.2">
      <c r="A138" s="231"/>
      <c r="B138" s="203"/>
      <c r="C138" s="203"/>
      <c r="D138" s="203"/>
      <c r="E138" s="203"/>
      <c r="F138" s="203"/>
      <c r="G138" s="203"/>
      <c r="H138" s="203"/>
      <c r="I138" s="203"/>
      <c r="J138" s="203"/>
      <c r="K138" s="343" t="s">
        <v>111</v>
      </c>
      <c r="L138" s="344"/>
      <c r="M138" s="345"/>
      <c r="N138" s="206"/>
      <c r="O138" s="206"/>
      <c r="P138" s="206"/>
      <c r="Q138" s="206"/>
      <c r="R138" s="206"/>
      <c r="S138" s="86">
        <f t="shared" si="17"/>
        <v>0</v>
      </c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</row>
    <row r="139" spans="1:51" x14ac:dyDescent="0.2">
      <c r="A139" s="348" t="s">
        <v>70</v>
      </c>
      <c r="B139" s="349"/>
      <c r="C139" s="349"/>
      <c r="D139" s="149"/>
      <c r="E139" s="149"/>
      <c r="F139" s="149"/>
      <c r="G139" s="149"/>
      <c r="H139" s="149"/>
      <c r="I139" s="149"/>
      <c r="J139" s="149"/>
      <c r="K139" s="154"/>
      <c r="L139" s="149"/>
      <c r="M139" s="155"/>
      <c r="N139" s="153">
        <f>SUM(N124:N138)</f>
        <v>0</v>
      </c>
      <c r="O139" s="153">
        <f t="shared" ref="O139" si="18">SUM(O124:O138)</f>
        <v>0</v>
      </c>
      <c r="P139" s="153">
        <f t="shared" ref="P139" si="19">SUM(P124:P138)</f>
        <v>0</v>
      </c>
      <c r="Q139" s="153">
        <f t="shared" ref="Q139" si="20">SUM(Q124:Q138)</f>
        <v>0</v>
      </c>
      <c r="R139" s="153">
        <f t="shared" ref="R139" si="21">SUM(R124:R138)</f>
        <v>0</v>
      </c>
      <c r="S139" s="153">
        <f>SUM(S124:S138)</f>
        <v>0</v>
      </c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</row>
    <row r="140" spans="1:51" x14ac:dyDescent="0.2">
      <c r="A140" s="324"/>
      <c r="B140" s="325"/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6"/>
      <c r="N140" s="137"/>
      <c r="O140" s="137"/>
      <c r="P140" s="137">
        <f t="shared" ref="P140:R140" si="22">IF($K124="IC of Above",P124,0)+IF($K125="IC of Above",P125,0)+IF($K126="IC of Above",P126,0)+IF($K127="IC of Above",P127,0)+IF($K128="IC of Above",P128,0)+IF($K129="IC of Above",P129,0)+IF($K130="IC of Above",P130,0)+IF($K131="IC of Above",P131,0)+IF($K132="IC of Above",P132,0)+IF($K133="IC of Above",P133,0)+IF($K134="IC of Above",P134,0)+IF($K135="IC of Above",P135,0)+IF($K136="IC of Above",P136,0)+IF($K137="IC of Above",P137,0)+IF($K138="IC of Above",P138,0)</f>
        <v>0</v>
      </c>
      <c r="Q140" s="137">
        <f t="shared" si="22"/>
        <v>0</v>
      </c>
      <c r="R140" s="137">
        <f t="shared" si="22"/>
        <v>0</v>
      </c>
      <c r="S140" s="1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</row>
    <row r="141" spans="1:51" x14ac:dyDescent="0.2">
      <c r="A141" s="103" t="s">
        <v>71</v>
      </c>
      <c r="B141" s="104"/>
      <c r="C141" s="104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106"/>
      <c r="O141" s="106"/>
      <c r="P141" s="106"/>
      <c r="Q141" s="106"/>
      <c r="R141" s="106"/>
      <c r="S141" s="106" t="str">
        <f t="shared" ref="S141" si="23">S123</f>
        <v>Total</v>
      </c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</row>
    <row r="142" spans="1:51" x14ac:dyDescent="0.2">
      <c r="A142" s="231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14"/>
      <c r="O142" s="214"/>
      <c r="P142" s="214"/>
      <c r="Q142" s="214"/>
      <c r="R142" s="214"/>
      <c r="S142" s="90">
        <f>SUM(N142:R142)</f>
        <v>0</v>
      </c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</row>
    <row r="143" spans="1:51" x14ac:dyDescent="0.2">
      <c r="A143" s="231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14"/>
      <c r="O143" s="214"/>
      <c r="P143" s="214"/>
      <c r="Q143" s="214"/>
      <c r="R143" s="214"/>
      <c r="S143" s="90">
        <f t="shared" ref="S143:S150" si="24">SUM(N143:R143)</f>
        <v>0</v>
      </c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</row>
    <row r="144" spans="1:51" x14ac:dyDescent="0.2">
      <c r="A144" s="231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14"/>
      <c r="O144" s="214"/>
      <c r="P144" s="214"/>
      <c r="Q144" s="214"/>
      <c r="R144" s="214"/>
      <c r="S144" s="90">
        <f t="shared" si="24"/>
        <v>0</v>
      </c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</row>
    <row r="145" spans="1:51" hidden="1" x14ac:dyDescent="0.2">
      <c r="A145" s="231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14"/>
      <c r="O145" s="214"/>
      <c r="P145" s="214"/>
      <c r="Q145" s="214"/>
      <c r="R145" s="214"/>
      <c r="S145" s="87">
        <f t="shared" si="24"/>
        <v>0</v>
      </c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</row>
    <row r="146" spans="1:51" hidden="1" x14ac:dyDescent="0.2">
      <c r="A146" s="231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14"/>
      <c r="O146" s="214"/>
      <c r="P146" s="214"/>
      <c r="Q146" s="214"/>
      <c r="R146" s="214"/>
      <c r="S146" s="87">
        <f t="shared" si="24"/>
        <v>0</v>
      </c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</row>
    <row r="147" spans="1:51" hidden="1" x14ac:dyDescent="0.2">
      <c r="A147" s="231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14"/>
      <c r="O147" s="214"/>
      <c r="P147" s="214"/>
      <c r="Q147" s="214"/>
      <c r="R147" s="214"/>
      <c r="S147" s="87">
        <f t="shared" si="24"/>
        <v>0</v>
      </c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</row>
    <row r="148" spans="1:51" hidden="1" x14ac:dyDescent="0.2">
      <c r="A148" s="231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14"/>
      <c r="O148" s="214"/>
      <c r="P148" s="214"/>
      <c r="Q148" s="214"/>
      <c r="R148" s="214"/>
      <c r="S148" s="87">
        <f t="shared" si="24"/>
        <v>0</v>
      </c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</row>
    <row r="149" spans="1:51" hidden="1" x14ac:dyDescent="0.2">
      <c r="A149" s="231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14"/>
      <c r="O149" s="214"/>
      <c r="P149" s="214"/>
      <c r="Q149" s="214"/>
      <c r="R149" s="214"/>
      <c r="S149" s="87">
        <f t="shared" si="24"/>
        <v>0</v>
      </c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</row>
    <row r="150" spans="1:51" hidden="1" x14ac:dyDescent="0.2">
      <c r="A150" s="231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4"/>
      <c r="O150" s="204"/>
      <c r="P150" s="204"/>
      <c r="Q150" s="204"/>
      <c r="R150" s="204"/>
      <c r="S150" s="87">
        <f t="shared" si="24"/>
        <v>0</v>
      </c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</row>
    <row r="151" spans="1:51" x14ac:dyDescent="0.2">
      <c r="A151" s="156" t="s">
        <v>72</v>
      </c>
      <c r="B151" s="157"/>
      <c r="C151" s="157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58">
        <f>SUM(N142:N150)</f>
        <v>0</v>
      </c>
      <c r="O151" s="158">
        <f t="shared" ref="O151" si="25">SUM(O142:O150)</f>
        <v>0</v>
      </c>
      <c r="P151" s="158">
        <f t="shared" ref="P151" si="26">SUM(P142:P150)</f>
        <v>0</v>
      </c>
      <c r="Q151" s="158">
        <f t="shared" ref="Q151" si="27">SUM(Q142:Q150)</f>
        <v>0</v>
      </c>
      <c r="R151" s="158">
        <f t="shared" ref="R151" si="28">SUM(R142:R150)</f>
        <v>0</v>
      </c>
      <c r="S151" s="159">
        <f>SUM(S142:S150)</f>
        <v>0</v>
      </c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</row>
    <row r="152" spans="1:51" x14ac:dyDescent="0.2">
      <c r="A152" s="96" t="s">
        <v>73</v>
      </c>
      <c r="B152" s="97"/>
      <c r="C152" s="97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89">
        <f>N139+N151</f>
        <v>0</v>
      </c>
      <c r="O152" s="89">
        <f t="shared" ref="O152:S152" si="29">O139+O151</f>
        <v>0</v>
      </c>
      <c r="P152" s="89">
        <f t="shared" si="29"/>
        <v>0</v>
      </c>
      <c r="Q152" s="89">
        <f t="shared" si="29"/>
        <v>0</v>
      </c>
      <c r="R152" s="89">
        <f t="shared" si="29"/>
        <v>0</v>
      </c>
      <c r="S152" s="91">
        <f t="shared" si="29"/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</row>
    <row r="153" spans="1:51" x14ac:dyDescent="0.2"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</row>
    <row r="154" spans="1:51" x14ac:dyDescent="0.2">
      <c r="A154" s="346" t="s">
        <v>74</v>
      </c>
      <c r="B154" s="347"/>
      <c r="C154" s="347"/>
      <c r="D154" s="49"/>
      <c r="E154" s="49"/>
      <c r="F154" s="49"/>
      <c r="G154" s="49"/>
      <c r="H154" s="49"/>
      <c r="I154" s="49"/>
      <c r="J154" s="49"/>
      <c r="K154" s="49"/>
      <c r="L154" s="49"/>
      <c r="M154" s="58"/>
      <c r="N154" s="106" t="s">
        <v>134</v>
      </c>
      <c r="O154" s="106" t="s">
        <v>135</v>
      </c>
      <c r="P154" s="106" t="s">
        <v>136</v>
      </c>
      <c r="Q154" s="106" t="s">
        <v>139</v>
      </c>
      <c r="R154" s="106" t="s">
        <v>137</v>
      </c>
      <c r="S154" s="106" t="s">
        <v>13</v>
      </c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</row>
    <row r="155" spans="1:51" x14ac:dyDescent="0.2">
      <c r="A155" s="59" t="s">
        <v>77</v>
      </c>
      <c r="B155" s="84"/>
      <c r="C155" s="84"/>
      <c r="D155" s="119" t="s">
        <v>162</v>
      </c>
      <c r="E155" s="60"/>
      <c r="F155" s="120" t="s">
        <v>133</v>
      </c>
      <c r="G155" s="49"/>
      <c r="H155" s="49"/>
      <c r="I155" s="50" t="s">
        <v>155</v>
      </c>
      <c r="J155" s="50" t="s">
        <v>156</v>
      </c>
      <c r="K155" s="50" t="s">
        <v>157</v>
      </c>
      <c r="L155" s="50" t="s">
        <v>158</v>
      </c>
      <c r="M155" s="50" t="s">
        <v>159</v>
      </c>
      <c r="N155" s="71" t="s">
        <v>78</v>
      </c>
      <c r="O155" s="55"/>
      <c r="P155" s="55"/>
      <c r="Q155" s="55"/>
      <c r="R155" s="55"/>
      <c r="S155" s="5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</row>
    <row r="156" spans="1:51" x14ac:dyDescent="0.2">
      <c r="A156" s="372" t="s">
        <v>161</v>
      </c>
      <c r="B156" s="373"/>
      <c r="C156" s="374"/>
      <c r="D156" s="370" t="s">
        <v>179</v>
      </c>
      <c r="E156" s="371"/>
      <c r="F156" s="209" t="s">
        <v>225</v>
      </c>
      <c r="G156" s="409" t="s">
        <v>163</v>
      </c>
      <c r="H156" s="410"/>
      <c r="I156" s="210" t="s">
        <v>160</v>
      </c>
      <c r="J156" s="210" t="s">
        <v>160</v>
      </c>
      <c r="K156" s="210" t="s">
        <v>160</v>
      </c>
      <c r="L156" s="210" t="s">
        <v>160</v>
      </c>
      <c r="M156" s="210" t="s">
        <v>160</v>
      </c>
      <c r="N156" s="163">
        <f ca="1">SUM(N157:N168)</f>
        <v>0</v>
      </c>
      <c r="O156" s="163">
        <f t="shared" ref="O156:R156" ca="1" si="30">SUM(O157:O168)</f>
        <v>0</v>
      </c>
      <c r="P156" s="163">
        <f t="shared" si="30"/>
        <v>0</v>
      </c>
      <c r="Q156" s="163">
        <f>SUM(Q157:Q168)</f>
        <v>0</v>
      </c>
      <c r="R156" s="163">
        <f t="shared" si="30"/>
        <v>0</v>
      </c>
      <c r="S156" s="164">
        <f ca="1">SUM(N156:R156)</f>
        <v>0</v>
      </c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</row>
    <row r="157" spans="1:51" x14ac:dyDescent="0.2">
      <c r="A157" s="368"/>
      <c r="B157" s="377"/>
      <c r="C157" s="369"/>
      <c r="D157" s="368" t="s">
        <v>75</v>
      </c>
      <c r="E157" s="369"/>
      <c r="F157" s="207">
        <v>0.03</v>
      </c>
      <c r="G157" s="375">
        <v>17892</v>
      </c>
      <c r="H157" s="376"/>
      <c r="I157" s="208">
        <v>0</v>
      </c>
      <c r="J157" s="208">
        <v>0</v>
      </c>
      <c r="K157" s="208"/>
      <c r="L157" s="208"/>
      <c r="M157" s="208"/>
      <c r="N157" s="64">
        <f ca="1">IF(I$156="#GSRs",ROUND(('W1'!K162*I157)/3*'W1'!C$30,0),ROUND('Pilot Project Budget'!I157/3*'W1'!K162,0))</f>
        <v>0</v>
      </c>
      <c r="O157" s="64">
        <f ca="1">IF(J$156="#GSRs",ROUND(('W1'!L162*J157)/3*'W1'!D$30,0),ROUND('Pilot Project Budget'!J157/3*'W1'!L162,0))</f>
        <v>0</v>
      </c>
      <c r="P157" s="64">
        <f>IF(K$156="#GSRs",ROUND(('W1'!M162*K157)/3*'W1'!E$30,0),ROUND('Pilot Project Budget'!K157/3*'W1'!M162,0))</f>
        <v>0</v>
      </c>
      <c r="Q157" s="64">
        <f>IF(L$156="#GSRs",ROUND(('W1'!N162*L157)/3*'W1'!F$30,0),ROUND('Pilot Project Budget'!L157/3*'W1'!N162,0))</f>
        <v>0</v>
      </c>
      <c r="R157" s="64">
        <f>IF(M$156="#GSRs",ROUND(('W1'!O162*M157)/3*'W1'!G$30,0),ROUND('Pilot Project Budget'!M157/3*'W1'!O162,0))</f>
        <v>0</v>
      </c>
      <c r="S157" s="64">
        <f ca="1">SUM(N157:R157)</f>
        <v>0</v>
      </c>
      <c r="T157" s="246"/>
      <c r="U157" s="246"/>
      <c r="V157" s="246"/>
      <c r="W157" s="246"/>
      <c r="X157" s="246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</row>
    <row r="158" spans="1:51" x14ac:dyDescent="0.2">
      <c r="A158" s="368"/>
      <c r="B158" s="377"/>
      <c r="C158" s="369"/>
      <c r="D158" s="368" t="s">
        <v>75</v>
      </c>
      <c r="E158" s="369"/>
      <c r="F158" s="207">
        <v>0.03</v>
      </c>
      <c r="G158" s="375">
        <v>17892</v>
      </c>
      <c r="H158" s="376"/>
      <c r="I158" s="208"/>
      <c r="J158" s="208"/>
      <c r="K158" s="208"/>
      <c r="L158" s="208"/>
      <c r="M158" s="208"/>
      <c r="N158" s="64">
        <f ca="1">IF(I$156="#GSRs",ROUND(('W1'!K163*I158)/3*'W1'!C$30,0),ROUND('Pilot Project Budget'!I158/3*'W1'!K163,0))</f>
        <v>0</v>
      </c>
      <c r="O158" s="64">
        <f ca="1">IF(J$156="#GSRs",ROUND(('W1'!L163*J158)/3*'W1'!D$30,0),ROUND('Pilot Project Budget'!J158/3*'W1'!L163,0))</f>
        <v>0</v>
      </c>
      <c r="P158" s="64">
        <f>IF(K$156="#GSRs",ROUND(('W1'!M163*K158)/3*'W1'!E$30,0),ROUND('Pilot Project Budget'!K158/3*'W1'!M163,0))</f>
        <v>0</v>
      </c>
      <c r="Q158" s="64">
        <f>IF(L$156="#GSRs",ROUND(('W1'!N163*L158)/3*'W1'!F$30,0),ROUND('Pilot Project Budget'!L158/3*'W1'!N163,0))</f>
        <v>0</v>
      </c>
      <c r="R158" s="64">
        <f>IF(M$156="#GSRs",ROUND(('W1'!O163*M158)/3*'W1'!G$30,0),ROUND('Pilot Project Budget'!M158/3*'W1'!O163,0))</f>
        <v>0</v>
      </c>
      <c r="S158" s="64">
        <f t="shared" ref="S158" ca="1" si="31">SUM(N158:R158)</f>
        <v>0</v>
      </c>
      <c r="T158" s="246"/>
      <c r="U158" s="246"/>
      <c r="V158" s="246"/>
      <c r="W158" s="246"/>
      <c r="X158" s="246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</row>
    <row r="159" spans="1:51" x14ac:dyDescent="0.2">
      <c r="A159" s="368"/>
      <c r="B159" s="377"/>
      <c r="C159" s="369"/>
      <c r="D159" s="368" t="s">
        <v>76</v>
      </c>
      <c r="E159" s="369"/>
      <c r="F159" s="207">
        <v>0.03</v>
      </c>
      <c r="G159" s="375">
        <v>32994</v>
      </c>
      <c r="H159" s="376"/>
      <c r="I159" s="208"/>
      <c r="J159" s="208"/>
      <c r="K159" s="208"/>
      <c r="L159" s="208"/>
      <c r="M159" s="208"/>
      <c r="N159" s="64">
        <f ca="1">IF(I$156="#GSRs",ROUND(('W1'!K164*I159)/3*'W1'!C$30,0),ROUND('Pilot Project Budget'!I159/3*'W1'!K164,0))</f>
        <v>0</v>
      </c>
      <c r="O159" s="64">
        <f ca="1">IF(J$156="#GSRs",ROUND(('W1'!L164*J159)/3*'W1'!D$30,0),ROUND('Pilot Project Budget'!J159/3*'W1'!L164,0))</f>
        <v>0</v>
      </c>
      <c r="P159" s="64">
        <f>IF(K$156="#GSRs",ROUND(('W1'!M164*K159)/3*'W1'!E$30,0),ROUND('Pilot Project Budget'!K159/3*'W1'!M164,0))</f>
        <v>0</v>
      </c>
      <c r="Q159" s="64">
        <f>IF(L$156="#GSRs",ROUND(('W1'!N164*L159)/3*'W1'!F$30,0),ROUND('Pilot Project Budget'!L159/3*'W1'!N164,0))</f>
        <v>0</v>
      </c>
      <c r="R159" s="64">
        <f>IF(M$156="#GSRs",ROUND(('W1'!O164*M159)/3*'W1'!G$30,0),ROUND('Pilot Project Budget'!M159/3*'W1'!O164,0))</f>
        <v>0</v>
      </c>
      <c r="S159" s="64">
        <f ca="1">SUM(N159:R159)</f>
        <v>0</v>
      </c>
      <c r="T159" s="246"/>
      <c r="U159" s="246"/>
      <c r="V159" s="246"/>
      <c r="W159" s="246"/>
      <c r="X159" s="246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</row>
    <row r="160" spans="1:51" x14ac:dyDescent="0.2">
      <c r="A160" s="368"/>
      <c r="B160" s="377"/>
      <c r="C160" s="369"/>
      <c r="D160" s="368" t="s">
        <v>75</v>
      </c>
      <c r="E160" s="369"/>
      <c r="F160" s="207">
        <v>0.03</v>
      </c>
      <c r="G160" s="375">
        <v>17892</v>
      </c>
      <c r="H160" s="376"/>
      <c r="I160" s="208"/>
      <c r="J160" s="208"/>
      <c r="K160" s="208"/>
      <c r="L160" s="208"/>
      <c r="M160" s="208"/>
      <c r="N160" s="64">
        <f ca="1">IF(I$156="#GSRs",ROUND(('W1'!K165*I160)/3*'W1'!C$30,0),ROUND('Pilot Project Budget'!I160/3*'W1'!K165,0))</f>
        <v>0</v>
      </c>
      <c r="O160" s="64">
        <f ca="1">IF(J$156="#GSRs",ROUND(('W1'!L165*J160)/3*'W1'!D$30,0),ROUND('Pilot Project Budget'!J160/3*'W1'!L165,0))</f>
        <v>0</v>
      </c>
      <c r="P160" s="64">
        <f>IF(K$156="#GSRs",ROUND(('W1'!M165*K160)/3*'W1'!E$30,0),ROUND('Pilot Project Budget'!K160/3*'W1'!M165,0))</f>
        <v>0</v>
      </c>
      <c r="Q160" s="64">
        <f>IF(L$156="#GSRs",ROUND(('W1'!N165*L160)/3*'W1'!F$30,0),ROUND('Pilot Project Budget'!L160/3*'W1'!N165,0))</f>
        <v>0</v>
      </c>
      <c r="R160" s="64">
        <f>IF(M$156="#GSRs",ROUND(('W1'!O165*M160)/3*'W1'!G$30,0),ROUND('Pilot Project Budget'!M160/3*'W1'!O165,0))</f>
        <v>0</v>
      </c>
      <c r="S160" s="64">
        <f t="shared" ref="S160:S168" ca="1" si="32">SUM(N160:R160)</f>
        <v>0</v>
      </c>
      <c r="T160" s="246"/>
      <c r="U160" s="246"/>
      <c r="V160" s="246"/>
      <c r="W160" s="246"/>
      <c r="X160" s="246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</row>
    <row r="161" spans="1:51" hidden="1" x14ac:dyDescent="0.2">
      <c r="A161" s="368"/>
      <c r="B161" s="377"/>
      <c r="C161" s="369"/>
      <c r="D161" s="368" t="s">
        <v>75</v>
      </c>
      <c r="E161" s="369"/>
      <c r="F161" s="207">
        <v>0.1</v>
      </c>
      <c r="G161" s="375">
        <v>17892</v>
      </c>
      <c r="H161" s="376"/>
      <c r="I161" s="208"/>
      <c r="J161" s="208"/>
      <c r="K161" s="208"/>
      <c r="L161" s="208"/>
      <c r="M161" s="208"/>
      <c r="N161" s="64">
        <f ca="1">IF(I$156="#GSRs",ROUND(('W1'!K166*I161)/3*'W1'!C$30,0),ROUND('Pilot Project Budget'!I161/3*'W1'!K166,0))</f>
        <v>0</v>
      </c>
      <c r="O161" s="64">
        <f ca="1">IF(J$156="#GSRs",ROUND(('W1'!L166*J161)/3*'W1'!D$30,0),ROUND('Pilot Project Budget'!J161/3*'W1'!L166,0))</f>
        <v>0</v>
      </c>
      <c r="P161" s="64">
        <f>IF(K$156="#GSRs",ROUND(('W1'!M166*K161)/3*'W1'!E$30,0),ROUND('Pilot Project Budget'!K161/3*'W1'!M166,0))</f>
        <v>0</v>
      </c>
      <c r="Q161" s="64">
        <f>IF(L$156="#GSRs",ROUND(('W1'!N166*L161)/3*'W1'!F$30,0),ROUND('Pilot Project Budget'!L161/3*'W1'!N166,0))</f>
        <v>0</v>
      </c>
      <c r="R161" s="64">
        <f>IF(M$156="#GSRs",ROUND(('W1'!O166*M161)/3*'W1'!G$30,0),ROUND('Pilot Project Budget'!M161/3*'W1'!O166,0))</f>
        <v>0</v>
      </c>
      <c r="S161" s="64">
        <f t="shared" ca="1" si="32"/>
        <v>0</v>
      </c>
      <c r="T161" s="246"/>
      <c r="U161" s="246"/>
      <c r="V161" s="246"/>
      <c r="W161" s="246"/>
      <c r="X161" s="246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</row>
    <row r="162" spans="1:51" hidden="1" x14ac:dyDescent="0.2">
      <c r="A162" s="368"/>
      <c r="B162" s="377"/>
      <c r="C162" s="369"/>
      <c r="D162" s="368" t="s">
        <v>75</v>
      </c>
      <c r="E162" s="369"/>
      <c r="F162" s="207">
        <v>0.1</v>
      </c>
      <c r="G162" s="375">
        <v>17892</v>
      </c>
      <c r="H162" s="376"/>
      <c r="I162" s="208"/>
      <c r="J162" s="208"/>
      <c r="K162" s="208"/>
      <c r="L162" s="208"/>
      <c r="M162" s="208"/>
      <c r="N162" s="64">
        <f ca="1">IF(I$156="#GSRs",ROUND(('W1'!K167*I162)/3*'W1'!C$30,0),ROUND('Pilot Project Budget'!I162/3*'W1'!K167,0))</f>
        <v>0</v>
      </c>
      <c r="O162" s="64">
        <f ca="1">IF(J$156="#GSRs",ROUND(('W1'!L167*J162)/3*'W1'!D$30,0),ROUND('Pilot Project Budget'!J162/3*'W1'!L167,0))</f>
        <v>0</v>
      </c>
      <c r="P162" s="64">
        <f>IF(K$156="#GSRs",ROUND(('W1'!M167*K162)/3*'W1'!E$30,0),ROUND('Pilot Project Budget'!K162/3*'W1'!M167,0))</f>
        <v>0</v>
      </c>
      <c r="Q162" s="64">
        <f>IF(L$156="#GSRs",ROUND(('W1'!N167*L162)/3*'W1'!F$30,0),ROUND('Pilot Project Budget'!L162/3*'W1'!N167,0))</f>
        <v>0</v>
      </c>
      <c r="R162" s="64">
        <f>IF(M$156="#GSRs",ROUND(('W1'!O167*M162)/3*'W1'!G$30,0),ROUND('Pilot Project Budget'!M162/3*'W1'!O167,0))</f>
        <v>0</v>
      </c>
      <c r="S162" s="64">
        <f t="shared" ca="1" si="32"/>
        <v>0</v>
      </c>
      <c r="T162" s="246"/>
      <c r="U162" s="246"/>
      <c r="V162" s="246"/>
      <c r="W162" s="246"/>
      <c r="X162" s="246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</row>
    <row r="163" spans="1:51" hidden="1" x14ac:dyDescent="0.2">
      <c r="A163" s="368"/>
      <c r="B163" s="377"/>
      <c r="C163" s="369"/>
      <c r="D163" s="368" t="s">
        <v>75</v>
      </c>
      <c r="E163" s="369"/>
      <c r="F163" s="207">
        <v>0.1</v>
      </c>
      <c r="G163" s="375">
        <v>17892</v>
      </c>
      <c r="H163" s="376"/>
      <c r="I163" s="208"/>
      <c r="J163" s="208"/>
      <c r="K163" s="208"/>
      <c r="L163" s="208"/>
      <c r="M163" s="208"/>
      <c r="N163" s="64">
        <f ca="1">IF(I$156="#GSRs",ROUND(('W1'!K168*I163)/3*'W1'!C$30,0),ROUND('Pilot Project Budget'!I163/3*'W1'!K168,0))</f>
        <v>0</v>
      </c>
      <c r="O163" s="64">
        <f ca="1">IF(J$156="#GSRs",ROUND(('W1'!L168*J163)/3*'W1'!D$30,0),ROUND('Pilot Project Budget'!J163/3*'W1'!L168,0))</f>
        <v>0</v>
      </c>
      <c r="P163" s="64">
        <f>IF(K$156="#GSRs",ROUND(('W1'!M168*K163)/3*'W1'!E$30,0),ROUND('Pilot Project Budget'!K163/3*'W1'!M168,0))</f>
        <v>0</v>
      </c>
      <c r="Q163" s="64">
        <f>IF(L$156="#GSRs",ROUND(('W1'!N168*L163)/3*'W1'!F$30,0),ROUND('Pilot Project Budget'!L163/3*'W1'!N168,0))</f>
        <v>0</v>
      </c>
      <c r="R163" s="64">
        <f>IF(M$156="#GSRs",ROUND(('W1'!O168*M163)/3*'W1'!G$30,0),ROUND('Pilot Project Budget'!M163/3*'W1'!O168,0))</f>
        <v>0</v>
      </c>
      <c r="S163" s="64">
        <f t="shared" ca="1" si="32"/>
        <v>0</v>
      </c>
      <c r="T163" s="246"/>
      <c r="U163" s="246"/>
      <c r="V163" s="246"/>
      <c r="W163" s="246"/>
      <c r="X163" s="246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</row>
    <row r="164" spans="1:51" ht="10.9" hidden="1" customHeight="1" x14ac:dyDescent="0.2">
      <c r="A164" s="368"/>
      <c r="B164" s="377"/>
      <c r="C164" s="369"/>
      <c r="D164" s="368" t="s">
        <v>75</v>
      </c>
      <c r="E164" s="369"/>
      <c r="F164" s="207">
        <v>0.1</v>
      </c>
      <c r="G164" s="375">
        <v>17892</v>
      </c>
      <c r="H164" s="376"/>
      <c r="I164" s="208"/>
      <c r="J164" s="208"/>
      <c r="K164" s="208"/>
      <c r="L164" s="208"/>
      <c r="M164" s="208"/>
      <c r="N164" s="64">
        <f ca="1">IF(I$156="#GSRs",ROUND(('W1'!K169*I164)/3*'W1'!C$30,0),ROUND('Pilot Project Budget'!I164/3*'W1'!K169,0))</f>
        <v>0</v>
      </c>
      <c r="O164" s="64">
        <f ca="1">IF(J$156="#GSRs",ROUND(('W1'!L169*J164)/3*'W1'!D$30,0),ROUND('Pilot Project Budget'!J164/3*'W1'!L169,0))</f>
        <v>0</v>
      </c>
      <c r="P164" s="64">
        <f>IF(K$156="#GSRs",ROUND(('W1'!M169*K164)/3*'W1'!E$30,0),ROUND('Pilot Project Budget'!K164/3*'W1'!M169,0))</f>
        <v>0</v>
      </c>
      <c r="Q164" s="64">
        <f>IF(L$156="#GSRs",ROUND(('W1'!N169*L164)/3*'W1'!F$30,0),ROUND('Pilot Project Budget'!L164/3*'W1'!N169,0))</f>
        <v>0</v>
      </c>
      <c r="R164" s="64">
        <f>IF(M$156="#GSRs",ROUND(('W1'!O169*M164)/3*'W1'!G$30,0),ROUND('Pilot Project Budget'!M164/3*'W1'!O169,0))</f>
        <v>0</v>
      </c>
      <c r="S164" s="64">
        <f t="shared" ca="1" si="32"/>
        <v>0</v>
      </c>
      <c r="T164" s="246"/>
      <c r="U164" s="246"/>
      <c r="V164" s="246"/>
      <c r="W164" s="246"/>
      <c r="X164" s="246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</row>
    <row r="165" spans="1:51" hidden="1" x14ac:dyDescent="0.2">
      <c r="A165" s="368"/>
      <c r="B165" s="377"/>
      <c r="C165" s="369"/>
      <c r="D165" s="368" t="s">
        <v>75</v>
      </c>
      <c r="E165" s="369"/>
      <c r="F165" s="207">
        <v>0.1</v>
      </c>
      <c r="G165" s="375">
        <v>17892</v>
      </c>
      <c r="H165" s="376"/>
      <c r="I165" s="208"/>
      <c r="J165" s="208"/>
      <c r="K165" s="208"/>
      <c r="L165" s="208"/>
      <c r="M165" s="208"/>
      <c r="N165" s="64">
        <f ca="1">IF(I$156="#GSRs",ROUND(('W1'!K170*I165)/3*'W1'!C$30,0),ROUND('Pilot Project Budget'!I165/3*'W1'!K170,0))</f>
        <v>0</v>
      </c>
      <c r="O165" s="64">
        <f ca="1">IF(J$156="#GSRs",ROUND(('W1'!L170*J165)/3*'W1'!D$30,0),ROUND('Pilot Project Budget'!J165/3*'W1'!L170,0))</f>
        <v>0</v>
      </c>
      <c r="P165" s="64">
        <f>IF(K$156="#GSRs",ROUND(('W1'!M170*K165)/3*'W1'!E$30,0),ROUND('Pilot Project Budget'!K165/3*'W1'!M170,0))</f>
        <v>0</v>
      </c>
      <c r="Q165" s="64">
        <f>IF(L$156="#GSRs",ROUND(('W1'!N170*L165)/3*'W1'!F$30,0),ROUND('Pilot Project Budget'!L165/3*'W1'!N170,0))</f>
        <v>0</v>
      </c>
      <c r="R165" s="64">
        <f>IF(M$156="#GSRs",ROUND(('W1'!O170*M165)/3*'W1'!G$30,0),ROUND('Pilot Project Budget'!M165/3*'W1'!O170,0))</f>
        <v>0</v>
      </c>
      <c r="S165" s="64">
        <f t="shared" ca="1" si="32"/>
        <v>0</v>
      </c>
      <c r="T165" s="246"/>
      <c r="U165" s="246"/>
      <c r="V165" s="246"/>
      <c r="W165" s="246"/>
      <c r="X165" s="246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</row>
    <row r="166" spans="1:51" hidden="1" x14ac:dyDescent="0.2">
      <c r="A166" s="368"/>
      <c r="B166" s="377"/>
      <c r="C166" s="369"/>
      <c r="D166" s="368" t="s">
        <v>75</v>
      </c>
      <c r="E166" s="369"/>
      <c r="F166" s="207">
        <v>0.1</v>
      </c>
      <c r="G166" s="375">
        <v>17892</v>
      </c>
      <c r="H166" s="376"/>
      <c r="I166" s="208"/>
      <c r="J166" s="208"/>
      <c r="K166" s="208"/>
      <c r="L166" s="208"/>
      <c r="M166" s="208"/>
      <c r="N166" s="64">
        <f ca="1">IF(I$156="#GSRs",ROUND(('W1'!K171*I166)/3*'W1'!C$30,0),ROUND('Pilot Project Budget'!I166/3*'W1'!K171,0))</f>
        <v>0</v>
      </c>
      <c r="O166" s="64">
        <f ca="1">IF(J$156="#GSRs",ROUND(('W1'!L171*J166)/3*'W1'!D$30,0),ROUND('Pilot Project Budget'!J166/3*'W1'!L171,0))</f>
        <v>0</v>
      </c>
      <c r="P166" s="64">
        <f>IF(K$156="#GSRs",ROUND(('W1'!M171*K166)/3*'W1'!E$30,0),ROUND('Pilot Project Budget'!K166/3*'W1'!M171,0))</f>
        <v>0</v>
      </c>
      <c r="Q166" s="64">
        <f>IF(L$156="#GSRs",ROUND(('W1'!N171*L166)/3*'W1'!F$30,0),ROUND('Pilot Project Budget'!L166/3*'W1'!N171,0))</f>
        <v>0</v>
      </c>
      <c r="R166" s="64">
        <f>IF(M$156="#GSRs",ROUND(('W1'!O171*M166)/3*'W1'!G$30,0),ROUND('Pilot Project Budget'!M166/3*'W1'!O171,0))</f>
        <v>0</v>
      </c>
      <c r="S166" s="64">
        <f t="shared" ca="1" si="32"/>
        <v>0</v>
      </c>
      <c r="T166" s="246"/>
      <c r="U166" s="246"/>
      <c r="V166" s="246"/>
      <c r="W166" s="246"/>
      <c r="X166" s="246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</row>
    <row r="167" spans="1:51" hidden="1" x14ac:dyDescent="0.2">
      <c r="A167" s="368"/>
      <c r="B167" s="377"/>
      <c r="C167" s="369"/>
      <c r="D167" s="368" t="s">
        <v>75</v>
      </c>
      <c r="E167" s="369"/>
      <c r="F167" s="207">
        <v>0.1</v>
      </c>
      <c r="G167" s="375">
        <v>17892</v>
      </c>
      <c r="H167" s="376"/>
      <c r="I167" s="208"/>
      <c r="J167" s="208"/>
      <c r="K167" s="208"/>
      <c r="L167" s="208"/>
      <c r="M167" s="208"/>
      <c r="N167" s="64">
        <f ca="1">IF(I$156="#GSRs",ROUND(('W1'!K172*I167)/3*'W1'!C$30,0),ROUND('Pilot Project Budget'!I167/3*'W1'!K172,0))</f>
        <v>0</v>
      </c>
      <c r="O167" s="64">
        <f ca="1">IF(J$156="#GSRs",ROUND(('W1'!L172*J167)/3*'W1'!D$30,0),ROUND('Pilot Project Budget'!J167/3*'W1'!L172,0))</f>
        <v>0</v>
      </c>
      <c r="P167" s="64">
        <f>IF(K$156="#GSRs",ROUND(('W1'!M172*K167)/3*'W1'!E$30,0),ROUND('Pilot Project Budget'!K167/3*'W1'!M172,0))</f>
        <v>0</v>
      </c>
      <c r="Q167" s="64">
        <f>IF(L$156="#GSRs",ROUND(('W1'!N172*L167)/3*'W1'!F$30,0),ROUND('Pilot Project Budget'!L167/3*'W1'!N172,0))</f>
        <v>0</v>
      </c>
      <c r="R167" s="64">
        <f>IF(M$156="#GSRs",ROUND(('W1'!O172*M167)/3*'W1'!G$30,0),ROUND('Pilot Project Budget'!M167/3*'W1'!O172,0))</f>
        <v>0</v>
      </c>
      <c r="S167" s="64">
        <f t="shared" ca="1" si="32"/>
        <v>0</v>
      </c>
      <c r="T167" s="246"/>
      <c r="U167" s="246"/>
      <c r="V167" s="246"/>
      <c r="W167" s="246"/>
      <c r="X167" s="246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</row>
    <row r="168" spans="1:51" hidden="1" x14ac:dyDescent="0.2">
      <c r="A168" s="368"/>
      <c r="B168" s="377"/>
      <c r="C168" s="369"/>
      <c r="D168" s="368" t="s">
        <v>75</v>
      </c>
      <c r="E168" s="369"/>
      <c r="F168" s="207">
        <v>0.1</v>
      </c>
      <c r="G168" s="375">
        <v>17892</v>
      </c>
      <c r="H168" s="376"/>
      <c r="I168" s="208"/>
      <c r="J168" s="208"/>
      <c r="K168" s="208"/>
      <c r="L168" s="208"/>
      <c r="M168" s="208"/>
      <c r="N168" s="64">
        <f ca="1">IF(I$156="#GSRs",ROUND(('W1'!K173*I168)/3*'W1'!C$30,0),ROUND('Pilot Project Budget'!I168/3*'W1'!K173,0))</f>
        <v>0</v>
      </c>
      <c r="O168" s="64">
        <f ca="1">IF(J$156="#GSRs",ROUND(('W1'!L173*J168)/3*'W1'!D$30,0),ROUND('Pilot Project Budget'!J168/3*'W1'!L173,0))</f>
        <v>0</v>
      </c>
      <c r="P168" s="64">
        <f>IF(K$156="#GSRs",ROUND(('W1'!M173*K168)/3*'W1'!E$30,0),ROUND('Pilot Project Budget'!K168/3*'W1'!M173,0))</f>
        <v>0</v>
      </c>
      <c r="Q168" s="64">
        <f>IF(L$156="#GSRs",ROUND(('W1'!N173*L168)/3*'W1'!F$30,0),ROUND('Pilot Project Budget'!L168/3*'W1'!N173,0))</f>
        <v>0</v>
      </c>
      <c r="R168" s="64">
        <f>IF(M$156="#GSRs",ROUND(('W1'!O173*M168)/3*'W1'!G$30,0),ROUND('Pilot Project Budget'!M168/3*'W1'!O173,0))</f>
        <v>0</v>
      </c>
      <c r="S168" s="64">
        <f t="shared" ca="1" si="32"/>
        <v>0</v>
      </c>
      <c r="T168" s="246"/>
      <c r="U168" s="246"/>
      <c r="V168" s="246"/>
      <c r="W168" s="246"/>
      <c r="X168" s="246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</row>
    <row r="169" spans="1:51" x14ac:dyDescent="0.2">
      <c r="A169" s="94" t="s">
        <v>216</v>
      </c>
      <c r="B169" s="55"/>
      <c r="C169" s="55"/>
      <c r="D169" s="118"/>
      <c r="E169" s="118"/>
      <c r="F169" s="55"/>
      <c r="G169" s="407" t="s">
        <v>117</v>
      </c>
      <c r="H169" s="408"/>
      <c r="I169" s="404" t="s">
        <v>222</v>
      </c>
      <c r="J169" s="405"/>
      <c r="K169" s="405"/>
      <c r="L169" s="405"/>
      <c r="M169" s="406"/>
      <c r="N169" s="56"/>
      <c r="O169" s="56"/>
      <c r="P169" s="56"/>
      <c r="Q169" s="56"/>
      <c r="R169" s="56"/>
      <c r="S169" s="56"/>
      <c r="T169" s="246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</row>
    <row r="170" spans="1:51" x14ac:dyDescent="0.2">
      <c r="A170" s="231"/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4"/>
      <c r="O170" s="204"/>
      <c r="P170" s="204"/>
      <c r="Q170" s="204"/>
      <c r="R170" s="204"/>
      <c r="S170" s="90">
        <f>SUM(N170:R170)</f>
        <v>0</v>
      </c>
      <c r="T170" s="246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</row>
    <row r="171" spans="1:51" x14ac:dyDescent="0.2">
      <c r="A171" s="231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4"/>
      <c r="O171" s="204"/>
      <c r="P171" s="204"/>
      <c r="Q171" s="204"/>
      <c r="R171" s="204"/>
      <c r="S171" s="90">
        <f>SUM(N171:R171)</f>
        <v>0</v>
      </c>
      <c r="T171" s="246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</row>
    <row r="172" spans="1:51" x14ac:dyDescent="0.2">
      <c r="A172" s="231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4"/>
      <c r="O172" s="204"/>
      <c r="P172" s="204"/>
      <c r="Q172" s="204"/>
      <c r="R172" s="204"/>
      <c r="S172" s="90">
        <f>SUM(N172:R172)</f>
        <v>0</v>
      </c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</row>
    <row r="173" spans="1:51" hidden="1" x14ac:dyDescent="0.2">
      <c r="A173" s="231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4"/>
      <c r="P173" s="204"/>
      <c r="Q173" s="204"/>
      <c r="R173" s="204"/>
      <c r="S173" s="90">
        <f>SUM(N173:R173)</f>
        <v>0</v>
      </c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</row>
    <row r="174" spans="1:51" hidden="1" x14ac:dyDescent="0.2">
      <c r="A174" s="231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4"/>
      <c r="O174" s="204"/>
      <c r="P174" s="204"/>
      <c r="Q174" s="204"/>
      <c r="R174" s="204"/>
      <c r="S174" s="90">
        <f>SUM(N174:R174)</f>
        <v>0</v>
      </c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</row>
    <row r="175" spans="1:51" x14ac:dyDescent="0.2">
      <c r="A175" s="59" t="s">
        <v>79</v>
      </c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2"/>
      <c r="N175" s="213"/>
      <c r="O175" s="213"/>
      <c r="P175" s="213"/>
      <c r="Q175" s="213"/>
      <c r="R175" s="213"/>
      <c r="S175" s="88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</row>
    <row r="176" spans="1:51" x14ac:dyDescent="0.2">
      <c r="A176" s="231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14"/>
      <c r="O176" s="214"/>
      <c r="P176" s="214"/>
      <c r="Q176" s="214"/>
      <c r="R176" s="214"/>
      <c r="S176" s="90">
        <f t="shared" ref="S176:S183" si="33">SUM(N176:R176)</f>
        <v>0</v>
      </c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</row>
    <row r="177" spans="1:51" x14ac:dyDescent="0.2">
      <c r="A177" s="231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14"/>
      <c r="O177" s="214"/>
      <c r="P177" s="214"/>
      <c r="Q177" s="214"/>
      <c r="R177" s="214"/>
      <c r="S177" s="90">
        <f t="shared" si="33"/>
        <v>0</v>
      </c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</row>
    <row r="178" spans="1:51" x14ac:dyDescent="0.2">
      <c r="A178" s="231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14"/>
      <c r="O178" s="214"/>
      <c r="P178" s="214"/>
      <c r="Q178" s="214"/>
      <c r="R178" s="214"/>
      <c r="S178" s="90">
        <f t="shared" si="33"/>
        <v>0</v>
      </c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</row>
    <row r="179" spans="1:51" x14ac:dyDescent="0.2">
      <c r="A179" s="231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14"/>
      <c r="O179" s="214"/>
      <c r="P179" s="214"/>
      <c r="Q179" s="214"/>
      <c r="R179" s="214"/>
      <c r="S179" s="90">
        <f t="shared" si="33"/>
        <v>0</v>
      </c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</row>
    <row r="180" spans="1:51" hidden="1" x14ac:dyDescent="0.2">
      <c r="A180" s="231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14"/>
      <c r="O180" s="214"/>
      <c r="P180" s="214"/>
      <c r="Q180" s="214"/>
      <c r="R180" s="214"/>
      <c r="S180" s="90">
        <f t="shared" si="33"/>
        <v>0</v>
      </c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</row>
    <row r="181" spans="1:51" hidden="1" x14ac:dyDescent="0.2">
      <c r="A181" s="231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14"/>
      <c r="O181" s="214"/>
      <c r="P181" s="214"/>
      <c r="Q181" s="214"/>
      <c r="R181" s="214"/>
      <c r="S181" s="90">
        <f t="shared" si="33"/>
        <v>0</v>
      </c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</row>
    <row r="182" spans="1:51" hidden="1" x14ac:dyDescent="0.2">
      <c r="A182" s="231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14"/>
      <c r="O182" s="214"/>
      <c r="P182" s="214"/>
      <c r="Q182" s="214"/>
      <c r="R182" s="214"/>
      <c r="S182" s="90">
        <f t="shared" si="33"/>
        <v>0</v>
      </c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</row>
    <row r="183" spans="1:51" hidden="1" x14ac:dyDescent="0.2">
      <c r="A183" s="231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14"/>
      <c r="O183" s="214"/>
      <c r="P183" s="214"/>
      <c r="Q183" s="214"/>
      <c r="R183" s="214"/>
      <c r="S183" s="90">
        <f t="shared" si="33"/>
        <v>0</v>
      </c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</row>
    <row r="184" spans="1:51" x14ac:dyDescent="0.2">
      <c r="A184" s="232" t="s">
        <v>80</v>
      </c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2"/>
      <c r="N184" s="213"/>
      <c r="O184" s="213"/>
      <c r="P184" s="213"/>
      <c r="Q184" s="213"/>
      <c r="R184" s="213"/>
      <c r="S184" s="88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</row>
    <row r="185" spans="1:51" x14ac:dyDescent="0.2">
      <c r="A185" s="231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4"/>
      <c r="O185" s="204"/>
      <c r="P185" s="204"/>
      <c r="Q185" s="204"/>
      <c r="R185" s="204"/>
      <c r="S185" s="90">
        <f t="shared" ref="S185:S203" si="34">SUM(N185:R185)</f>
        <v>0</v>
      </c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</row>
    <row r="186" spans="1:51" x14ac:dyDescent="0.2">
      <c r="A186" s="231"/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4"/>
      <c r="O186" s="204"/>
      <c r="P186" s="204"/>
      <c r="Q186" s="204"/>
      <c r="R186" s="204"/>
      <c r="S186" s="90">
        <f t="shared" si="34"/>
        <v>0</v>
      </c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</row>
    <row r="187" spans="1:51" x14ac:dyDescent="0.2">
      <c r="A187" s="231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4"/>
      <c r="O187" s="204"/>
      <c r="P187" s="204"/>
      <c r="Q187" s="204"/>
      <c r="R187" s="204"/>
      <c r="S187" s="90">
        <f t="shared" si="34"/>
        <v>0</v>
      </c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</row>
    <row r="188" spans="1:51" x14ac:dyDescent="0.2">
      <c r="A188" s="231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4"/>
      <c r="O188" s="204"/>
      <c r="P188" s="204"/>
      <c r="Q188" s="204"/>
      <c r="R188" s="204"/>
      <c r="S188" s="90">
        <f t="shared" si="34"/>
        <v>0</v>
      </c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</row>
    <row r="189" spans="1:51" x14ac:dyDescent="0.2">
      <c r="A189" s="231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4"/>
      <c r="P189" s="204"/>
      <c r="Q189" s="204"/>
      <c r="R189" s="204"/>
      <c r="S189" s="90">
        <f t="shared" si="34"/>
        <v>0</v>
      </c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</row>
    <row r="190" spans="1:51" x14ac:dyDescent="0.2">
      <c r="A190" s="231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4"/>
      <c r="O190" s="204"/>
      <c r="P190" s="204"/>
      <c r="Q190" s="204"/>
      <c r="R190" s="204"/>
      <c r="S190" s="90">
        <f t="shared" si="34"/>
        <v>0</v>
      </c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</row>
    <row r="191" spans="1:51" hidden="1" x14ac:dyDescent="0.2">
      <c r="A191" s="231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4"/>
      <c r="O191" s="204"/>
      <c r="P191" s="204"/>
      <c r="Q191" s="204"/>
      <c r="R191" s="204"/>
      <c r="S191" s="90">
        <f t="shared" si="34"/>
        <v>0</v>
      </c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</row>
    <row r="192" spans="1:51" hidden="1" x14ac:dyDescent="0.2">
      <c r="A192" s="231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4"/>
      <c r="O192" s="204"/>
      <c r="P192" s="204"/>
      <c r="Q192" s="204"/>
      <c r="R192" s="204"/>
      <c r="S192" s="90">
        <f t="shared" si="34"/>
        <v>0</v>
      </c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</row>
    <row r="193" spans="1:51" hidden="1" x14ac:dyDescent="0.2">
      <c r="A193" s="231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4"/>
      <c r="O193" s="204"/>
      <c r="P193" s="204"/>
      <c r="Q193" s="204"/>
      <c r="R193" s="204"/>
      <c r="S193" s="90">
        <f t="shared" si="34"/>
        <v>0</v>
      </c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</row>
    <row r="194" spans="1:51" hidden="1" x14ac:dyDescent="0.2">
      <c r="A194" s="231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4"/>
      <c r="O194" s="204"/>
      <c r="P194" s="204"/>
      <c r="Q194" s="204"/>
      <c r="R194" s="204"/>
      <c r="S194" s="90">
        <f t="shared" si="34"/>
        <v>0</v>
      </c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</row>
    <row r="195" spans="1:51" hidden="1" x14ac:dyDescent="0.2">
      <c r="A195" s="231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4"/>
      <c r="O195" s="204"/>
      <c r="P195" s="204"/>
      <c r="Q195" s="204"/>
      <c r="R195" s="204"/>
      <c r="S195" s="90">
        <f t="shared" si="34"/>
        <v>0</v>
      </c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</row>
    <row r="196" spans="1:51" hidden="1" x14ac:dyDescent="0.2">
      <c r="A196" s="23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4"/>
      <c r="P196" s="204"/>
      <c r="Q196" s="204"/>
      <c r="R196" s="204"/>
      <c r="S196" s="90">
        <f t="shared" si="34"/>
        <v>0</v>
      </c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</row>
    <row r="197" spans="1:51" hidden="1" x14ac:dyDescent="0.2">
      <c r="A197" s="231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4"/>
      <c r="O197" s="204"/>
      <c r="P197" s="204"/>
      <c r="Q197" s="204"/>
      <c r="R197" s="204"/>
      <c r="S197" s="90">
        <f t="shared" si="34"/>
        <v>0</v>
      </c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</row>
    <row r="198" spans="1:51" hidden="1" x14ac:dyDescent="0.2">
      <c r="A198" s="231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4"/>
      <c r="O198" s="204"/>
      <c r="P198" s="204"/>
      <c r="Q198" s="204"/>
      <c r="R198" s="204"/>
      <c r="S198" s="90">
        <f t="shared" si="34"/>
        <v>0</v>
      </c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</row>
    <row r="199" spans="1:51" hidden="1" x14ac:dyDescent="0.2">
      <c r="A199" s="231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4"/>
      <c r="O199" s="204"/>
      <c r="P199" s="204"/>
      <c r="Q199" s="204"/>
      <c r="R199" s="204"/>
      <c r="S199" s="90">
        <f t="shared" si="34"/>
        <v>0</v>
      </c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</row>
    <row r="200" spans="1:51" hidden="1" x14ac:dyDescent="0.2">
      <c r="A200" s="231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4"/>
      <c r="O200" s="204"/>
      <c r="P200" s="204"/>
      <c r="Q200" s="204"/>
      <c r="R200" s="204"/>
      <c r="S200" s="90">
        <f t="shared" si="34"/>
        <v>0</v>
      </c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</row>
    <row r="201" spans="1:51" hidden="1" x14ac:dyDescent="0.2">
      <c r="A201" s="231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4"/>
      <c r="O201" s="204"/>
      <c r="P201" s="204"/>
      <c r="Q201" s="204"/>
      <c r="R201" s="204"/>
      <c r="S201" s="90">
        <f t="shared" si="34"/>
        <v>0</v>
      </c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</row>
    <row r="202" spans="1:51" hidden="1" x14ac:dyDescent="0.2">
      <c r="A202" s="231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04"/>
      <c r="O202" s="204"/>
      <c r="P202" s="204"/>
      <c r="Q202" s="204"/>
      <c r="R202" s="204"/>
      <c r="S202" s="90">
        <f t="shared" si="34"/>
        <v>0</v>
      </c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</row>
    <row r="203" spans="1:51" x14ac:dyDescent="0.2">
      <c r="A203" s="160" t="s">
        <v>81</v>
      </c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2"/>
      <c r="N203" s="147">
        <f ca="1">SUM(N157:N202)</f>
        <v>0</v>
      </c>
      <c r="O203" s="147">
        <f ca="1">SUM(O157:O202)</f>
        <v>0</v>
      </c>
      <c r="P203" s="147">
        <f>SUM(P157:P202)</f>
        <v>0</v>
      </c>
      <c r="Q203" s="147">
        <f>SUM(Q157:Q202)</f>
        <v>0</v>
      </c>
      <c r="R203" s="147">
        <f>SUM(R157:R202)</f>
        <v>0</v>
      </c>
      <c r="S203" s="148">
        <f t="shared" ca="1" si="34"/>
        <v>0</v>
      </c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</row>
    <row r="204" spans="1:51" x14ac:dyDescent="0.2">
      <c r="A204" s="160" t="s">
        <v>82</v>
      </c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2"/>
      <c r="N204" s="234">
        <f ca="1">N61+N73+N84+N121+N139+N151+N203</f>
        <v>0</v>
      </c>
      <c r="O204" s="234">
        <f ca="1">O61+O73+O84+O121+O139+O151+O203</f>
        <v>0</v>
      </c>
      <c r="P204" s="234">
        <f>P61+P73+P84+P121+P139+P151+P203</f>
        <v>0</v>
      </c>
      <c r="Q204" s="234">
        <f>Q61+Q73+Q84+Q121+Q139+Q151+Q203</f>
        <v>0</v>
      </c>
      <c r="R204" s="234">
        <f>R61+R73+R84+R121+R139+R151+R203</f>
        <v>0</v>
      </c>
      <c r="S204" s="234">
        <f ca="1">SUM(N204:R204)</f>
        <v>0</v>
      </c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</row>
    <row r="205" spans="1:51" x14ac:dyDescent="0.2">
      <c r="A205" s="251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3"/>
      <c r="O205" s="253"/>
      <c r="P205" s="253"/>
      <c r="Q205" s="253"/>
      <c r="R205" s="253"/>
      <c r="S205" s="253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</row>
    <row r="206" spans="1:51" x14ac:dyDescent="0.2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54"/>
      <c r="O206" s="254"/>
      <c r="P206" s="254"/>
      <c r="Q206" s="254"/>
      <c r="R206" s="254"/>
      <c r="S206" s="254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</row>
    <row r="207" spans="1:51" x14ac:dyDescent="0.2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47"/>
      <c r="O207" s="247"/>
      <c r="P207" s="247"/>
      <c r="Q207" s="247"/>
      <c r="R207" s="247"/>
      <c r="S207" s="24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</row>
    <row r="208" spans="1:51" x14ac:dyDescent="0.2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47"/>
      <c r="O208" s="247"/>
      <c r="P208" s="247"/>
      <c r="Q208" s="247"/>
      <c r="R208" s="247"/>
      <c r="S208" s="24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</row>
    <row r="209" spans="1:51" x14ac:dyDescent="0.2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47"/>
      <c r="O209" s="247"/>
      <c r="P209" s="247"/>
      <c r="Q209" s="247"/>
      <c r="R209" s="247"/>
      <c r="S209" s="24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</row>
    <row r="210" spans="1:51" x14ac:dyDescent="0.2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54"/>
      <c r="O210" s="254"/>
      <c r="P210" s="254"/>
      <c r="Q210" s="254"/>
      <c r="R210" s="254"/>
      <c r="S210" s="254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</row>
    <row r="211" spans="1:51" x14ac:dyDescent="0.2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47"/>
      <c r="O211" s="247"/>
      <c r="P211" s="247"/>
      <c r="Q211" s="247"/>
      <c r="R211" s="247"/>
      <c r="S211" s="24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</row>
    <row r="212" spans="1:51" x14ac:dyDescent="0.2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</row>
    <row r="213" spans="1:51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</row>
    <row r="214" spans="1:51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</row>
    <row r="215" spans="1:51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</row>
    <row r="216" spans="1:51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</row>
    <row r="217" spans="1:51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</row>
    <row r="218" spans="1:51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</row>
    <row r="219" spans="1:51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51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51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51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  <row r="223" spans="1:51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</row>
    <row r="224" spans="1:51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</row>
    <row r="226" spans="1:22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</row>
    <row r="227" spans="1:22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</row>
    <row r="228" spans="1:22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</row>
    <row r="229" spans="1:22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</row>
    <row r="230" spans="1:22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</row>
    <row r="231" spans="1:22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</row>
    <row r="232" spans="1:22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</row>
    <row r="233" spans="1:22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</row>
    <row r="234" spans="1:22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</row>
    <row r="235" spans="1:22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</row>
    <row r="236" spans="1:22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</row>
    <row r="237" spans="1:22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</row>
    <row r="238" spans="1:22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</row>
    <row r="239" spans="1:22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</row>
    <row r="240" spans="1:22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</row>
    <row r="241" spans="1:22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</row>
    <row r="242" spans="1:22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</row>
    <row r="243" spans="1:22" x14ac:dyDescent="0.2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</row>
    <row r="244" spans="1:22" x14ac:dyDescent="0.2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</row>
    <row r="245" spans="1:22" x14ac:dyDescent="0.2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</row>
    <row r="246" spans="1:22" x14ac:dyDescent="0.2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</row>
    <row r="247" spans="1:22" x14ac:dyDescent="0.2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</row>
    <row r="248" spans="1:22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</row>
    <row r="249" spans="1:22" x14ac:dyDescent="0.2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</row>
    <row r="250" spans="1:22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</row>
    <row r="251" spans="1:22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</row>
    <row r="254" spans="1:22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</row>
    <row r="255" spans="1:22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</row>
    <row r="256" spans="1:22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</row>
    <row r="257" spans="1:22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</row>
    <row r="258" spans="1:22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</row>
    <row r="259" spans="1:22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</row>
    <row r="260" spans="1:22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</row>
    <row r="261" spans="1:22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</row>
    <row r="262" spans="1:22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</row>
    <row r="263" spans="1:22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</row>
    <row r="264" spans="1:22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</row>
    <row r="265" spans="1:22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</row>
    <row r="266" spans="1:22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</row>
    <row r="267" spans="1:22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</row>
    <row r="268" spans="1:22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x14ac:dyDescent="0.2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</row>
    <row r="270" spans="1:22" x14ac:dyDescent="0.2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</row>
    <row r="271" spans="1:22" x14ac:dyDescent="0.2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</row>
    <row r="272" spans="1:22" x14ac:dyDescent="0.2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</row>
    <row r="273" spans="1:22" x14ac:dyDescent="0.2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</row>
    <row r="274" spans="1:22" x14ac:dyDescent="0.2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</row>
    <row r="275" spans="1:22" x14ac:dyDescent="0.2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</row>
    <row r="276" spans="1:22" x14ac:dyDescent="0.2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</row>
    <row r="277" spans="1:22" x14ac:dyDescent="0.2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</row>
    <row r="278" spans="1:22" x14ac:dyDescent="0.2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x14ac:dyDescent="0.2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280" spans="1:22" x14ac:dyDescent="0.2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</row>
    <row r="281" spans="1:22" x14ac:dyDescent="0.2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</row>
    <row r="282" spans="1:22" x14ac:dyDescent="0.2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</row>
    <row r="283" spans="1:22" x14ac:dyDescent="0.2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</row>
    <row r="284" spans="1:22" x14ac:dyDescent="0.2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</row>
    <row r="285" spans="1:22" x14ac:dyDescent="0.2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</row>
    <row r="286" spans="1:22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</row>
    <row r="287" spans="1:22" x14ac:dyDescent="0.2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</row>
    <row r="288" spans="1:22" x14ac:dyDescent="0.2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</row>
    <row r="289" spans="1:22" x14ac:dyDescent="0.2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</row>
    <row r="290" spans="1:22" x14ac:dyDescent="0.2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</row>
    <row r="291" spans="1:22" x14ac:dyDescent="0.2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</row>
    <row r="292" spans="1:22" x14ac:dyDescent="0.2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</row>
    <row r="293" spans="1:22" x14ac:dyDescent="0.2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</row>
    <row r="294" spans="1:22" x14ac:dyDescent="0.2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</row>
    <row r="295" spans="1:22" x14ac:dyDescent="0.2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</row>
    <row r="296" spans="1:22" x14ac:dyDescent="0.2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</row>
    <row r="297" spans="1:22" x14ac:dyDescent="0.2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</row>
    <row r="298" spans="1:22" x14ac:dyDescent="0.2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</row>
    <row r="299" spans="1:22" x14ac:dyDescent="0.2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</row>
    <row r="300" spans="1:22" x14ac:dyDescent="0.2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</row>
    <row r="301" spans="1:22" x14ac:dyDescent="0.2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</row>
    <row r="302" spans="1:22" x14ac:dyDescent="0.2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</row>
    <row r="303" spans="1:22" x14ac:dyDescent="0.2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</row>
    <row r="304" spans="1:22" x14ac:dyDescent="0.2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</row>
    <row r="305" spans="1:22" x14ac:dyDescent="0.2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</row>
    <row r="306" spans="1:22" x14ac:dyDescent="0.2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</row>
    <row r="307" spans="1:22" x14ac:dyDescent="0.2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</row>
    <row r="308" spans="1:22" x14ac:dyDescent="0.2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</row>
    <row r="309" spans="1:22" x14ac:dyDescent="0.2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</row>
    <row r="310" spans="1:22" x14ac:dyDescent="0.2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</row>
    <row r="311" spans="1:22" x14ac:dyDescent="0.2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</row>
    <row r="312" spans="1:22" x14ac:dyDescent="0.2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x14ac:dyDescent="0.2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</row>
    <row r="314" spans="1:22" x14ac:dyDescent="0.2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</row>
    <row r="315" spans="1:22" x14ac:dyDescent="0.2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</row>
    <row r="316" spans="1:22" x14ac:dyDescent="0.2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</row>
    <row r="317" spans="1:22" x14ac:dyDescent="0.2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</row>
    <row r="318" spans="1:22" x14ac:dyDescent="0.2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</row>
    <row r="319" spans="1:22" x14ac:dyDescent="0.2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</row>
    <row r="320" spans="1:22" x14ac:dyDescent="0.2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</row>
    <row r="321" spans="1:22" x14ac:dyDescent="0.2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</row>
    <row r="322" spans="1:22" x14ac:dyDescent="0.2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</row>
    <row r="323" spans="1:22" x14ac:dyDescent="0.2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</row>
    <row r="324" spans="1:22" x14ac:dyDescent="0.2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</row>
    <row r="325" spans="1:22" x14ac:dyDescent="0.2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</row>
    <row r="326" spans="1:22" x14ac:dyDescent="0.2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</row>
    <row r="327" spans="1:22" x14ac:dyDescent="0.2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</row>
    <row r="328" spans="1:22" x14ac:dyDescent="0.2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</row>
    <row r="329" spans="1:22" x14ac:dyDescent="0.2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</row>
    <row r="330" spans="1:22" x14ac:dyDescent="0.2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</row>
    <row r="331" spans="1:22" x14ac:dyDescent="0.2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</row>
    <row r="332" spans="1:22" x14ac:dyDescent="0.2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</row>
    <row r="333" spans="1:22" x14ac:dyDescent="0.2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</row>
    <row r="334" spans="1:22" x14ac:dyDescent="0.2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</row>
    <row r="335" spans="1:22" x14ac:dyDescent="0.2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</row>
    <row r="336" spans="1:22" x14ac:dyDescent="0.2">
      <c r="A336" s="237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</row>
    <row r="337" spans="1:22" x14ac:dyDescent="0.2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</row>
    <row r="338" spans="1:22" x14ac:dyDescent="0.2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</row>
    <row r="339" spans="1:22" x14ac:dyDescent="0.2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</row>
    <row r="340" spans="1:22" x14ac:dyDescent="0.2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</row>
    <row r="341" spans="1:22" x14ac:dyDescent="0.2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</row>
    <row r="342" spans="1:22" x14ac:dyDescent="0.2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</row>
    <row r="343" spans="1:22" x14ac:dyDescent="0.2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</row>
    <row r="344" spans="1:22" x14ac:dyDescent="0.2">
      <c r="A344" s="237"/>
      <c r="B344" s="237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</row>
    <row r="345" spans="1:22" x14ac:dyDescent="0.2">
      <c r="A345" s="237"/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</row>
    <row r="346" spans="1:22" x14ac:dyDescent="0.2">
      <c r="A346" s="237"/>
      <c r="B346" s="237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</row>
    <row r="347" spans="1:22" x14ac:dyDescent="0.2">
      <c r="A347" s="237"/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</row>
    <row r="348" spans="1:22" x14ac:dyDescent="0.2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</row>
    <row r="349" spans="1:22" x14ac:dyDescent="0.2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</row>
    <row r="350" spans="1:22" x14ac:dyDescent="0.2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</row>
    <row r="351" spans="1:22" x14ac:dyDescent="0.2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</row>
    <row r="352" spans="1:22" x14ac:dyDescent="0.2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</row>
    <row r="353" spans="1:22" x14ac:dyDescent="0.2">
      <c r="A353" s="237"/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</row>
    <row r="354" spans="1:22" x14ac:dyDescent="0.2">
      <c r="A354" s="237"/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</row>
    <row r="355" spans="1:22" x14ac:dyDescent="0.2">
      <c r="A355" s="237"/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</row>
    <row r="356" spans="1:22" x14ac:dyDescent="0.2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</row>
    <row r="357" spans="1:22" x14ac:dyDescent="0.2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</row>
    <row r="358" spans="1:22" x14ac:dyDescent="0.2">
      <c r="A358" s="237"/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</row>
    <row r="359" spans="1:22" x14ac:dyDescent="0.2">
      <c r="A359" s="237"/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</row>
    <row r="360" spans="1:22" x14ac:dyDescent="0.2">
      <c r="A360" s="237"/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</row>
    <row r="361" spans="1:22" x14ac:dyDescent="0.2">
      <c r="A361" s="237"/>
      <c r="B361" s="237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</row>
    <row r="362" spans="1:22" x14ac:dyDescent="0.2">
      <c r="A362" s="237"/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</row>
    <row r="363" spans="1:22" x14ac:dyDescent="0.2">
      <c r="A363" s="237"/>
      <c r="B363" s="237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</row>
    <row r="364" spans="1:22" x14ac:dyDescent="0.2">
      <c r="A364" s="237"/>
      <c r="B364" s="237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</row>
    <row r="365" spans="1:22" x14ac:dyDescent="0.2">
      <c r="A365" s="237"/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</row>
    <row r="366" spans="1:22" x14ac:dyDescent="0.2">
      <c r="A366" s="237"/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</row>
    <row r="367" spans="1:22" x14ac:dyDescent="0.2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</row>
    <row r="368" spans="1:22" x14ac:dyDescent="0.2">
      <c r="A368" s="237"/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</row>
    <row r="369" spans="1:22" x14ac:dyDescent="0.2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</row>
    <row r="370" spans="1:22" x14ac:dyDescent="0.2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</row>
    <row r="371" spans="1:22" x14ac:dyDescent="0.2">
      <c r="A371" s="237"/>
      <c r="B371" s="237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</row>
    <row r="372" spans="1:22" x14ac:dyDescent="0.2">
      <c r="A372" s="237"/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</row>
    <row r="373" spans="1:22" x14ac:dyDescent="0.2">
      <c r="A373" s="237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</row>
    <row r="374" spans="1:22" x14ac:dyDescent="0.2">
      <c r="A374" s="237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</row>
    <row r="375" spans="1:22" x14ac:dyDescent="0.2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</row>
    <row r="376" spans="1:22" x14ac:dyDescent="0.2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</row>
    <row r="377" spans="1:22" x14ac:dyDescent="0.2">
      <c r="A377" s="237"/>
      <c r="B377" s="237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</row>
    <row r="378" spans="1:22" x14ac:dyDescent="0.2">
      <c r="A378" s="237"/>
      <c r="B378" s="237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</row>
    <row r="379" spans="1:22" x14ac:dyDescent="0.2">
      <c r="A379" s="237"/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</row>
    <row r="380" spans="1:22" x14ac:dyDescent="0.2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</row>
    <row r="381" spans="1:22" x14ac:dyDescent="0.2">
      <c r="A381" s="237"/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</row>
    <row r="382" spans="1:22" x14ac:dyDescent="0.2">
      <c r="A382" s="237"/>
      <c r="B382" s="237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</row>
    <row r="383" spans="1:22" x14ac:dyDescent="0.2">
      <c r="A383" s="237"/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</row>
    <row r="384" spans="1:22" x14ac:dyDescent="0.2">
      <c r="A384" s="237"/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</row>
    <row r="385" spans="1:22" x14ac:dyDescent="0.2">
      <c r="A385" s="237"/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</row>
    <row r="386" spans="1:22" x14ac:dyDescent="0.2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</row>
    <row r="387" spans="1:22" x14ac:dyDescent="0.2">
      <c r="A387" s="237"/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</row>
  </sheetData>
  <sheetProtection formatCells="0" formatColumns="0" formatRows="0"/>
  <dataConsolidate/>
  <mergeCells count="223">
    <mergeCell ref="I169:M169"/>
    <mergeCell ref="A139:C139"/>
    <mergeCell ref="G157:H157"/>
    <mergeCell ref="G169:H169"/>
    <mergeCell ref="D164:E164"/>
    <mergeCell ref="D165:E165"/>
    <mergeCell ref="A161:C161"/>
    <mergeCell ref="A162:C162"/>
    <mergeCell ref="A163:C163"/>
    <mergeCell ref="A164:C164"/>
    <mergeCell ref="A165:C165"/>
    <mergeCell ref="A166:C166"/>
    <mergeCell ref="G167:H167"/>
    <mergeCell ref="G168:H168"/>
    <mergeCell ref="D167:E167"/>
    <mergeCell ref="D168:E168"/>
    <mergeCell ref="A157:C157"/>
    <mergeCell ref="A158:C158"/>
    <mergeCell ref="G158:H158"/>
    <mergeCell ref="A154:C154"/>
    <mergeCell ref="G156:H156"/>
    <mergeCell ref="G159:H159"/>
    <mergeCell ref="A167:C167"/>
    <mergeCell ref="A168:C168"/>
    <mergeCell ref="R1:S1"/>
    <mergeCell ref="F2:M2"/>
    <mergeCell ref="A4:J5"/>
    <mergeCell ref="K75:M75"/>
    <mergeCell ref="B45:C45"/>
    <mergeCell ref="B46:C46"/>
    <mergeCell ref="B59:C59"/>
    <mergeCell ref="B53:C53"/>
    <mergeCell ref="B54:C54"/>
    <mergeCell ref="B55:C55"/>
    <mergeCell ref="B56:C56"/>
    <mergeCell ref="B57:C57"/>
    <mergeCell ref="B58:C58"/>
    <mergeCell ref="B47:C47"/>
    <mergeCell ref="B48:C48"/>
    <mergeCell ref="F44:G44"/>
    <mergeCell ref="F45:G45"/>
    <mergeCell ref="F46:G46"/>
    <mergeCell ref="F47:G47"/>
    <mergeCell ref="B49:C49"/>
    <mergeCell ref="B50:C50"/>
    <mergeCell ref="B51:C51"/>
    <mergeCell ref="B52:C52"/>
    <mergeCell ref="B44:C44"/>
    <mergeCell ref="F35:G35"/>
    <mergeCell ref="H35:I35"/>
    <mergeCell ref="F58:G58"/>
    <mergeCell ref="F59:G59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H54:I54"/>
    <mergeCell ref="F38:G38"/>
    <mergeCell ref="F39:G39"/>
    <mergeCell ref="F40:G40"/>
    <mergeCell ref="F41:G41"/>
    <mergeCell ref="H42:I42"/>
    <mergeCell ref="H36:I36"/>
    <mergeCell ref="H37:I37"/>
    <mergeCell ref="H38:I38"/>
    <mergeCell ref="H41:I41"/>
    <mergeCell ref="P4:Q4"/>
    <mergeCell ref="B43:C43"/>
    <mergeCell ref="A32:M32"/>
    <mergeCell ref="F34:G34"/>
    <mergeCell ref="H34:I34"/>
    <mergeCell ref="J34:K34"/>
    <mergeCell ref="L34:M34"/>
    <mergeCell ref="F6:J6"/>
    <mergeCell ref="B36:C36"/>
    <mergeCell ref="B37:C37"/>
    <mergeCell ref="B38:C38"/>
    <mergeCell ref="B39:C39"/>
    <mergeCell ref="B40:C40"/>
    <mergeCell ref="A35:C35"/>
    <mergeCell ref="L35:M35"/>
    <mergeCell ref="B41:C41"/>
    <mergeCell ref="B42:C42"/>
    <mergeCell ref="J35:K35"/>
    <mergeCell ref="F36:G36"/>
    <mergeCell ref="F37:G37"/>
    <mergeCell ref="F43:G43"/>
    <mergeCell ref="F42:G42"/>
    <mergeCell ref="H39:I39"/>
    <mergeCell ref="H40:I40"/>
    <mergeCell ref="J41:K41"/>
    <mergeCell ref="H55:I55"/>
    <mergeCell ref="H56:I56"/>
    <mergeCell ref="H57:I57"/>
    <mergeCell ref="J42:K42"/>
    <mergeCell ref="J43:K43"/>
    <mergeCell ref="J44:K44"/>
    <mergeCell ref="J45:K45"/>
    <mergeCell ref="J46:K46"/>
    <mergeCell ref="J47:K47"/>
    <mergeCell ref="J54:K54"/>
    <mergeCell ref="J55:K55"/>
    <mergeCell ref="J56:K56"/>
    <mergeCell ref="J57:K57"/>
    <mergeCell ref="L36:M36"/>
    <mergeCell ref="L37:M37"/>
    <mergeCell ref="L38:M38"/>
    <mergeCell ref="L39:M39"/>
    <mergeCell ref="L40:M40"/>
    <mergeCell ref="L41:M41"/>
    <mergeCell ref="H58:I58"/>
    <mergeCell ref="H59:I59"/>
    <mergeCell ref="H48:I48"/>
    <mergeCell ref="H49:I49"/>
    <mergeCell ref="H50:I50"/>
    <mergeCell ref="H51:I51"/>
    <mergeCell ref="H52:I52"/>
    <mergeCell ref="H53:I53"/>
    <mergeCell ref="H43:I43"/>
    <mergeCell ref="H44:I44"/>
    <mergeCell ref="H45:I45"/>
    <mergeCell ref="H46:I46"/>
    <mergeCell ref="H47:I47"/>
    <mergeCell ref="J36:K36"/>
    <mergeCell ref="J37:K37"/>
    <mergeCell ref="J38:K38"/>
    <mergeCell ref="J39:K39"/>
    <mergeCell ref="J40:K40"/>
    <mergeCell ref="A121:C121"/>
    <mergeCell ref="K130:M130"/>
    <mergeCell ref="K131:M131"/>
    <mergeCell ref="K132:M132"/>
    <mergeCell ref="K133:M133"/>
    <mergeCell ref="K134:M134"/>
    <mergeCell ref="K135:M135"/>
    <mergeCell ref="A123:C123"/>
    <mergeCell ref="L49:M49"/>
    <mergeCell ref="L50:M50"/>
    <mergeCell ref="L51:M51"/>
    <mergeCell ref="L52:M52"/>
    <mergeCell ref="L53:M53"/>
    <mergeCell ref="F57:G57"/>
    <mergeCell ref="G160:H160"/>
    <mergeCell ref="G161:H161"/>
    <mergeCell ref="G162:H162"/>
    <mergeCell ref="G163:H163"/>
    <mergeCell ref="G164:H164"/>
    <mergeCell ref="G165:H165"/>
    <mergeCell ref="G166:H166"/>
    <mergeCell ref="D166:E166"/>
    <mergeCell ref="A159:C159"/>
    <mergeCell ref="A160:C160"/>
    <mergeCell ref="D157:E157"/>
    <mergeCell ref="D158:E158"/>
    <mergeCell ref="D159:E159"/>
    <mergeCell ref="D160:E160"/>
    <mergeCell ref="D161:E161"/>
    <mergeCell ref="D162:E162"/>
    <mergeCell ref="D163:E163"/>
    <mergeCell ref="D156:E156"/>
    <mergeCell ref="A156:C156"/>
    <mergeCell ref="O1:Q1"/>
    <mergeCell ref="A60:M60"/>
    <mergeCell ref="A61:M61"/>
    <mergeCell ref="J58:K58"/>
    <mergeCell ref="J59:K59"/>
    <mergeCell ref="J48:K48"/>
    <mergeCell ref="J49:K49"/>
    <mergeCell ref="J50:K50"/>
    <mergeCell ref="J51:K51"/>
    <mergeCell ref="J52:K52"/>
    <mergeCell ref="J53:K53"/>
    <mergeCell ref="L54:M54"/>
    <mergeCell ref="L55:M55"/>
    <mergeCell ref="L56:M56"/>
    <mergeCell ref="L57:M57"/>
    <mergeCell ref="L58:M58"/>
    <mergeCell ref="L59:M59"/>
    <mergeCell ref="L48:M48"/>
    <mergeCell ref="L42:M42"/>
    <mergeCell ref="L43:M43"/>
    <mergeCell ref="L44:M44"/>
    <mergeCell ref="L45:M45"/>
    <mergeCell ref="L46:M46"/>
    <mergeCell ref="L47:M47"/>
    <mergeCell ref="O6:O7"/>
    <mergeCell ref="P6:P7"/>
    <mergeCell ref="Q6:Q7"/>
    <mergeCell ref="R6:R7"/>
    <mergeCell ref="S6:S7"/>
    <mergeCell ref="K6:K7"/>
    <mergeCell ref="L6:L7"/>
    <mergeCell ref="M6:M7"/>
    <mergeCell ref="Q34:R34"/>
    <mergeCell ref="F1:N1"/>
    <mergeCell ref="A140:M140"/>
    <mergeCell ref="D1:D2"/>
    <mergeCell ref="K4:L5"/>
    <mergeCell ref="M4:M5"/>
    <mergeCell ref="B6:D7"/>
    <mergeCell ref="A6:A7"/>
    <mergeCell ref="E6:E7"/>
    <mergeCell ref="N6:N7"/>
    <mergeCell ref="K138:M138"/>
    <mergeCell ref="A63:C63"/>
    <mergeCell ref="A73:C73"/>
    <mergeCell ref="A75:C75"/>
    <mergeCell ref="A84:C84"/>
    <mergeCell ref="K123:M123"/>
    <mergeCell ref="K124:M124"/>
    <mergeCell ref="K125:M125"/>
    <mergeCell ref="K126:M126"/>
    <mergeCell ref="K127:M127"/>
    <mergeCell ref="K128:M128"/>
    <mergeCell ref="K129:M129"/>
    <mergeCell ref="K136:M136"/>
    <mergeCell ref="K137:M137"/>
    <mergeCell ref="A86:C86"/>
  </mergeCells>
  <conditionalFormatting sqref="M8:M31">
    <cfRule type="expression" dxfId="75" priority="17">
      <formula>$S$4="Multi"</formula>
    </cfRule>
  </conditionalFormatting>
  <conditionalFormatting sqref="A140:S140">
    <cfRule type="expression" dxfId="74" priority="27">
      <formula>$D$1="Non-NIH"</formula>
    </cfRule>
    <cfRule type="expression" dxfId="73" priority="28">
      <formula>$D$1="Non-NIH"</formula>
    </cfRule>
  </conditionalFormatting>
  <conditionalFormatting sqref="L36:M59">
    <cfRule type="expression" dxfId="72" priority="1">
      <formula>$R$2="0 Months"</formula>
    </cfRule>
  </conditionalFormatting>
  <conditionalFormatting sqref="F36:G59">
    <cfRule type="expression" dxfId="71" priority="4">
      <formula>$O$2="0 Months"</formula>
    </cfRule>
  </conditionalFormatting>
  <conditionalFormatting sqref="H36:I59">
    <cfRule type="expression" dxfId="70" priority="3">
      <formula>$P$2="0 Months"</formula>
    </cfRule>
  </conditionalFormatting>
  <conditionalFormatting sqref="J36:K59">
    <cfRule type="expression" dxfId="69" priority="2">
      <formula>$Q$2="0 Months"</formula>
    </cfRule>
  </conditionalFormatting>
  <dataValidations count="17">
    <dataValidation type="list" allowBlank="1" showInputMessage="1" showErrorMessage="1" sqref="K8:K31">
      <formula1>"SMR,AY,CAL"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M76:M83">
      <formula1>"Yes,No"</formula1>
    </dataValidation>
    <dataValidation type="list" allowBlank="1" showInputMessage="1" showErrorMessage="1" sqref="F157:F168">
      <formula1>"0%,1%,2%,3%,4%,5%,6%,7%,8%,9%,10%"</formula1>
    </dataValidation>
    <dataValidation type="list" allowBlank="1" showInputMessage="1" showErrorMessage="1" sqref="I169:M169">
      <formula1>"Federal,Non-Federal"</formula1>
    </dataValidation>
    <dataValidation type="list" allowBlank="1" showInputMessage="1" showErrorMessage="1" sqref="S34">
      <formula1>"No,Yes"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I156:M156">
      <formula1>"#GSRs,#Qrtr"</formula1>
    </dataValidation>
    <dataValidation type="list" allowBlank="1" showInputMessage="1" showErrorMessage="1" sqref="F156">
      <formula1>"AY,PY"</formula1>
    </dataValidation>
    <dataValidation type="list" allowBlank="1" showInputMessage="1" showErrorMessage="1" sqref="D157:E168">
      <formula1>"Resident,Non-Resident,Part-Time,Summer Only, Filing Status, Fellowship,Other"</formula1>
    </dataValidation>
    <dataValidation type="list" allowBlank="1" showInputMessage="1" showErrorMessage="1" sqref="D156:E156">
      <formula1>"Use Buydown, Use Full Rates"</formula1>
    </dataValidation>
    <dataValidation type="list" allowBlank="1" showInputMessage="1" showErrorMessage="1" sqref="D1">
      <formula1>"NIH,Non-NIH"</formula1>
    </dataValidation>
    <dataValidation type="list" allowBlank="1" showInputMessage="1" showErrorMessage="1" sqref="K124:M138">
      <formula1>"Non-UC,UC, IC of Above"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8E7AF114-F0E4-4F52-ADD9-41B1176F0E26}">
            <xm:f>'W1'!$G$5=0</xm:f>
            <x14:dxf>
              <font>
                <color theme="0"/>
              </font>
            </x14:dxf>
          </x14:cfRule>
          <xm:sqref>L36:M59</xm:sqref>
        </x14:conditionalFormatting>
        <x14:conditionalFormatting xmlns:xm="http://schemas.microsoft.com/office/excel/2006/main">
          <x14:cfRule type="expression" priority="9" id="{8E69FC05-8F5E-4708-9C6A-A0C4AE5B2D6D}">
            <xm:f>'W1'!$B$5&lt;'W1'!$C$1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8" id="{A1AB9A02-3A33-41CA-9D8D-B5B210BF9B55}">
            <xm:f>'W1'!$B$5&lt;'W1'!$C$1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'W1'!$A$58:$A$70</xm:f>
          </x14:formula1>
          <xm:sqref>D36:D59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Y321"/>
  <sheetViews>
    <sheetView zoomScaleNormal="100" workbookViewId="0">
      <selection activeCell="D1" sqref="D1:D2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5.42578125" style="39" customWidth="1"/>
    <col min="7" max="7" width="5" style="39" customWidth="1"/>
    <col min="8" max="8" width="5.42578125" style="39" customWidth="1"/>
    <col min="9" max="9" width="5.7109375" style="39" customWidth="1"/>
    <col min="10" max="10" width="5.28515625" style="39" customWidth="1"/>
    <col min="11" max="11" width="4.85546875" style="39" bestFit="1" customWidth="1"/>
    <col min="12" max="12" width="5" style="39" customWidth="1"/>
    <col min="13" max="13" width="4.7109375" style="39" customWidth="1"/>
    <col min="14" max="14" width="9.85546875" style="39" customWidth="1"/>
    <col min="15" max="15" width="9.42578125" style="39" customWidth="1"/>
    <col min="16" max="17" width="10" style="39" hidden="1" customWidth="1"/>
    <col min="18" max="18" width="2" style="39" hidden="1" customWidth="1"/>
    <col min="19" max="19" width="10.42578125" style="39" customWidth="1"/>
    <col min="20" max="24" width="9.85546875" style="39" bestFit="1" customWidth="1"/>
    <col min="25" max="16384" width="8.85546875" style="39"/>
  </cols>
  <sheetData>
    <row r="1" spans="1:51" ht="13.15" customHeight="1" thickTop="1" thickBot="1" x14ac:dyDescent="0.25">
      <c r="A1" s="109"/>
      <c r="B1" s="107" t="s">
        <v>1</v>
      </c>
      <c r="C1" s="196">
        <v>43922</v>
      </c>
      <c r="D1" s="327" t="s">
        <v>227</v>
      </c>
      <c r="E1" s="228" t="s">
        <v>186</v>
      </c>
      <c r="F1" s="321"/>
      <c r="G1" s="322"/>
      <c r="H1" s="322"/>
      <c r="I1" s="322"/>
      <c r="J1" s="322"/>
      <c r="K1" s="322"/>
      <c r="L1" s="322"/>
      <c r="M1" s="322"/>
      <c r="N1" s="323"/>
      <c r="O1" s="358"/>
      <c r="P1" s="359"/>
      <c r="Q1" s="359"/>
      <c r="R1" s="391"/>
      <c r="S1" s="39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3.15" customHeight="1" thickTop="1" x14ac:dyDescent="0.2">
      <c r="A2" s="61"/>
      <c r="B2" s="108" t="s">
        <v>2</v>
      </c>
      <c r="C2" s="196">
        <v>44651</v>
      </c>
      <c r="D2" s="328"/>
      <c r="E2" s="229" t="s">
        <v>8</v>
      </c>
      <c r="F2" s="393"/>
      <c r="G2" s="394"/>
      <c r="H2" s="394"/>
      <c r="I2" s="394"/>
      <c r="J2" s="394"/>
      <c r="K2" s="394"/>
      <c r="L2" s="394"/>
      <c r="M2" s="395"/>
      <c r="N2" s="197" t="s">
        <v>221</v>
      </c>
      <c r="O2" s="198" t="str">
        <f>IF('W2'!D5=1,'W2'!D5&amp;" Month",'W2'!D5&amp;" Months")</f>
        <v>12 Months</v>
      </c>
      <c r="P2" s="198" t="str">
        <f>IF('W2'!E5=1,'W2'!E5&amp;" Month",'W2'!E5&amp;" Months")</f>
        <v>0 Months</v>
      </c>
      <c r="Q2" s="198" t="str">
        <f>IF('W2'!F5=1,'W2'!F5&amp;" Month",'W2'!F5&amp;" Months")</f>
        <v>0 Months</v>
      </c>
      <c r="R2" s="198" t="str">
        <f>IF('W2'!G5=1,'W2'!G5&amp;" Month",'W2'!G5&amp;" Months")</f>
        <v>0 Months</v>
      </c>
      <c r="S2" s="198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spans="1:51" ht="3" customHeight="1" thickBot="1" x14ac:dyDescent="0.25">
      <c r="C3" s="4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ht="14.45" customHeight="1" thickBot="1" x14ac:dyDescent="0.25">
      <c r="A4" s="396" t="s">
        <v>4</v>
      </c>
      <c r="B4" s="397"/>
      <c r="C4" s="397"/>
      <c r="D4" s="397"/>
      <c r="E4" s="397"/>
      <c r="F4" s="397"/>
      <c r="G4" s="397"/>
      <c r="H4" s="397"/>
      <c r="I4" s="397"/>
      <c r="J4" s="398"/>
      <c r="K4" s="411"/>
      <c r="L4" s="412"/>
      <c r="M4" s="415" t="s">
        <v>184</v>
      </c>
      <c r="N4" s="264" t="str">
        <f>IF('W2'!B5&gt;='W2'!C1,"",'W2'!B5&amp; " Months")</f>
        <v/>
      </c>
      <c r="O4" s="49"/>
      <c r="P4" s="380" t="s">
        <v>57</v>
      </c>
      <c r="Q4" s="380"/>
      <c r="R4" s="186" t="s">
        <v>218</v>
      </c>
      <c r="S4" s="215">
        <v>0</v>
      </c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pans="1:51" x14ac:dyDescent="0.2">
      <c r="A5" s="399"/>
      <c r="B5" s="400"/>
      <c r="C5" s="400"/>
      <c r="D5" s="400"/>
      <c r="E5" s="400"/>
      <c r="F5" s="400"/>
      <c r="G5" s="400"/>
      <c r="H5" s="400"/>
      <c r="I5" s="400"/>
      <c r="J5" s="401"/>
      <c r="K5" s="413"/>
      <c r="L5" s="414"/>
      <c r="M5" s="416"/>
      <c r="N5" s="50" t="s">
        <v>134</v>
      </c>
      <c r="O5" s="50" t="s">
        <v>135</v>
      </c>
      <c r="P5" s="50" t="s">
        <v>136</v>
      </c>
      <c r="Q5" s="50" t="s">
        <v>139</v>
      </c>
      <c r="R5" s="50" t="s">
        <v>137</v>
      </c>
      <c r="S5" s="115" t="s">
        <v>13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4.45" customHeight="1" x14ac:dyDescent="0.2">
      <c r="A6" s="337"/>
      <c r="B6" s="335" t="s">
        <v>138</v>
      </c>
      <c r="C6" s="335"/>
      <c r="D6" s="335"/>
      <c r="E6" s="339" t="s">
        <v>213</v>
      </c>
      <c r="F6" s="384" t="s">
        <v>168</v>
      </c>
      <c r="G6" s="385"/>
      <c r="H6" s="385"/>
      <c r="I6" s="385"/>
      <c r="J6" s="385"/>
      <c r="K6" s="418"/>
      <c r="L6" s="419"/>
      <c r="M6" s="417"/>
      <c r="N6" s="341" t="str">
        <f>TEXT('W2'!C2,"m/d/yy")&amp;"-"&amp;TEXT('W2'!C3,"m/d/yy")</f>
        <v>4/1/20-3/31/21</v>
      </c>
      <c r="O6" s="341" t="str">
        <f>TEXT('W2'!D2,"m/d/yy")&amp;"-"&amp;TEXT('W2'!D3,"m/d/yy")</f>
        <v>4/1/21-3/31/22</v>
      </c>
      <c r="P6" s="341" t="str">
        <f>TEXT('W2'!E2,"m/d/yy")&amp;"-"&amp;TEXT('W2'!E3,"m/d/yy")</f>
        <v>-</v>
      </c>
      <c r="Q6" s="341" t="str">
        <f>TEXT('W2'!F2,"m/d/yy")&amp;"-"&amp;TEXT('W2'!F3,"m/d/yy")</f>
        <v>-</v>
      </c>
      <c r="R6" s="341" t="str">
        <f>TEXT('W2'!G2,"m/d/yy")&amp;"-"&amp;TEXT('W2'!G3,"m/d/yy")</f>
        <v>-</v>
      </c>
      <c r="S6" s="341" t="str">
        <f>TEXT('W2'!B2,"m/d/yy")&amp;"-"&amp;TEXT('W2'!B3,"m/d/yy")</f>
        <v>4/1/20-3/31/22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</row>
    <row r="7" spans="1:51" x14ac:dyDescent="0.2">
      <c r="A7" s="338"/>
      <c r="B7" s="336"/>
      <c r="C7" s="336"/>
      <c r="D7" s="336"/>
      <c r="E7" s="340"/>
      <c r="F7" s="270" t="s">
        <v>169</v>
      </c>
      <c r="G7" s="270" t="s">
        <v>170</v>
      </c>
      <c r="H7" s="270" t="s">
        <v>171</v>
      </c>
      <c r="I7" s="270" t="s">
        <v>172</v>
      </c>
      <c r="J7" s="270" t="s">
        <v>173</v>
      </c>
      <c r="K7" s="418"/>
      <c r="L7" s="419"/>
      <c r="M7" s="417"/>
      <c r="N7" s="342"/>
      <c r="O7" s="342"/>
      <c r="P7" s="342"/>
      <c r="Q7" s="342"/>
      <c r="R7" s="342"/>
      <c r="S7" s="342"/>
      <c r="T7" s="246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1:51" x14ac:dyDescent="0.2">
      <c r="A8" s="192">
        <v>1</v>
      </c>
      <c r="B8" s="193"/>
      <c r="C8" s="193"/>
      <c r="D8" s="194"/>
      <c r="E8" s="195"/>
      <c r="F8" s="221"/>
      <c r="G8" s="221"/>
      <c r="H8" s="282"/>
      <c r="I8" s="282"/>
      <c r="J8" s="282"/>
      <c r="K8" s="283"/>
      <c r="L8" s="283"/>
      <c r="M8" s="284"/>
      <c r="N8" s="187">
        <f>E8*F8</f>
        <v>0</v>
      </c>
      <c r="O8" s="187">
        <f>E8*G8</f>
        <v>0</v>
      </c>
      <c r="P8" s="187">
        <f>IF('W2'!$C$4='W2'!$D$4,(IF(AND($S$4="Multi",$R$4="FY"),ROUND(((1+$M8)^('W2'!$B$20+1)*'W2'!$E$9+(1+$M8)^('W2'!$B$20+2)*'W2'!$E$10)/12*'Subcontract 1'!$E8*'Subcontract 1'!H8,0),(IF(AND($S$4="Multi",$R$4="PY"),ROUND($E8*H8*((1+$M8)^2)/12*'W2'!$E$5,0),(IF(AND($S$4&lt;&gt;"Multi",$R$4="FY"),ROUND(((1+$S$4)^('W2'!$B$20+1)*'W2'!$E$9+(1+$S$4)^('W2'!$B$20+2)*'W2'!$E$10)/12*'Subcontract 1'!$E8*'Subcontract 1'!H8,0),ROUND($E8*H8*((1+$S$4)^2)/12*'W2'!$E$5,0))))))),(IF(AND($S$4="Multi",$R$4="FY"),ROUND(((1+$M8)^('W2'!$B$20+2)*'W2'!$E$9+(1+$M8)^('W2'!$B$20+3)*'W2'!$E$10)/12*'Subcontract 1'!$E8*'Subcontract 1'!H8,0),(IF(AND($S$4="Multi",$R$4="PY"),ROUND($E8*H8*((1+$M8)^2)/12*'W2'!$E$5,0),(IF(AND($S$4&lt;&gt;"Multi",$R$4="FY"),ROUND(((1+$S$4)^('W2'!$B$20+2)*'W2'!$E$9+(1+$S$4)^('W2'!$B$20+3)*'W2'!$E$10)/12*'Subcontract 1'!$E8*'Subcontract 1'!H8,0),ROUND($E8*H8*((1+$S$4)^2)/12*'W2'!$E$5,0))))))))</f>
        <v>0</v>
      </c>
      <c r="Q8" s="187">
        <f>IF('W2'!$C$4='W2'!$D$4,(IF(AND($S$4="Multi",$R$4="FY"),ROUND(((1+$M8)^('W2'!$B$20+2)*'W2'!$F$9+(1+$M8)^('W2'!$B$20+3)*'W2'!$F$10)/12*'Subcontract 1'!$E8*'Subcontract 1'!$I8,0),(IF(AND($S$4="Multi",$R$4="PY"),ROUND($E8*$I8*((1+$M8)^3)/12*'W2'!$F$5,0),(IF(AND($S$4&lt;&gt;"Multi",$R$4="FY"),ROUND(((1+$S$4)^('W2'!$B$20+2)*'W2'!$F$9+(1+$S$4)^('W2'!$B$20+3)*'W2'!$F$10)/12*'Subcontract 1'!$E8*'Subcontract 1'!$I8,0),ROUND($E8*$I8*((1+$S$4)^3)/12*'W2'!$F$5,0))))))),(IF(AND($S$4="Multi",$R$4="FY"),ROUND(((1+$M8)^('W2'!$B$20+3)*'W2'!$F$9+(1+$M8)^('W2'!$B$20+4)*'W2'!$F$10)/12*'Subcontract 1'!$E8*'Subcontract 1'!$I8,0),(IF(AND($S$4="Multi",$R$4="PY"),ROUND($E8*$I8*((1+$M8)^3)/12*'W2'!$F$5,0),(IF(AND($S$4&lt;&gt;"Multi",$R$4="FY"),ROUND(((1+$S$4)^('W2'!$B$20+3)*'W2'!$F$9+(1+$S$4)^('W2'!$B$20+4)*'W2'!$F$10)/12*'Subcontract 1'!$E8*'Subcontract 1'!$I8,0),ROUND($E8*$I8*((1+$S$4)^3)/12*'W2'!$F$5,0))))))))</f>
        <v>0</v>
      </c>
      <c r="R8" s="187">
        <f>IF('W2'!$C$4='W2'!$D$4,(IF(AND($S$4="Multi",$R$4="FY"),ROUND(((1+$M8)^('W2'!$B$20+3)*'W2'!$G$9+(1+$M8)^('W2'!$B$20+4)*'W2'!$G$10)/12*'Subcontract 1'!$E8*'Subcontract 1'!$J8,0),(IF(AND($S$4="Multi",$R$4="PY"),ROUND($E8*$J8*((1+$M8)^4)/12*'W2'!$G$5,0),(IF(AND($S$4&lt;&gt;"Multi",$R$4="FY"),ROUND(((1+$S$4)^('W2'!$B$20+3)*'W2'!$G$9+(1+$S$4)^('W2'!$B$20+4)*'W2'!$G$10)/12*'Subcontract 1'!$E8*'Subcontract 1'!$J8,0),ROUND($E8*$J8*((1+$S$4)^4)/12*'W2'!$G$5,0))))))),(IF(AND($S$4="Multi",$R$4="FY"),ROUND(((1+$M8)^('W2'!$B$20+4)*'W2'!$G$9+(1+$M8)^('W2'!$B$20+5)*'W2'!$G$10)/12*'Subcontract 1'!$E8*'Subcontract 1'!$J8,0),(IF(AND($S$4="Multi",$R$4="PY"),ROUND($E8*$J8*((1+$M8)^4)/12*'W2'!$G$5,0),(IF(AND($S$4&lt;&gt;"Multi",$R$4="FY"),ROUND(((1+$S$4)^('W2'!$B$20+4)*'W2'!$G$9+(1+$S$4)^('W2'!$B$20+5)*'W2'!$G$10)/12*'Subcontract 1'!$E8*'Subcontract 1'!$J8,0),ROUND($E8*$J8*((1+$S$4)^4)/12*'W2'!$G$5,0))))))))</f>
        <v>0</v>
      </c>
      <c r="S8" s="188">
        <f>SUM(N8:R8)</f>
        <v>0</v>
      </c>
      <c r="T8" s="246"/>
      <c r="U8" s="246"/>
      <c r="V8" s="246"/>
      <c r="W8" s="246"/>
      <c r="X8" s="246"/>
      <c r="Y8" s="247"/>
      <c r="Z8" s="247"/>
      <c r="AA8" s="247"/>
      <c r="AB8" s="247"/>
      <c r="AC8" s="24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</row>
    <row r="9" spans="1:51" x14ac:dyDescent="0.2">
      <c r="A9" s="192">
        <v>2</v>
      </c>
      <c r="B9" s="193"/>
      <c r="C9" s="193"/>
      <c r="D9" s="262"/>
      <c r="E9" s="195"/>
      <c r="F9" s="221"/>
      <c r="G9" s="221"/>
      <c r="H9" s="282"/>
      <c r="I9" s="282"/>
      <c r="J9" s="282"/>
      <c r="K9" s="283"/>
      <c r="L9" s="283"/>
      <c r="M9" s="284"/>
      <c r="N9" s="187">
        <f t="shared" ref="N9:N12" si="0">E9*F9</f>
        <v>0</v>
      </c>
      <c r="O9" s="187">
        <f t="shared" ref="O9:O12" si="1">E9*G9</f>
        <v>0</v>
      </c>
      <c r="P9" s="187">
        <f>IF('W2'!$C$4='W2'!$D$4,(IF(AND($S$4="Multi",$R$4="FY"),ROUND(((1+$M9)^('W2'!$B$20+1)*'W2'!$E$9+(1+$M9)^('W2'!$B$20+2)*'W2'!$E$10)/12*'Subcontract 1'!$E9*'Subcontract 1'!H9,0),(IF(AND($S$4="Multi",$R$4="PY"),ROUND($E9*H9*((1+$M9)^2)/12*'W2'!$E$5,0),(IF(AND($S$4&lt;&gt;"Multi",$R$4="FY"),ROUND(((1+$S$4)^('W2'!$B$20+1)*'W2'!$E$9+(1+$S$4)^('W2'!$B$20+2)*'W2'!$E$10)/12*'Subcontract 1'!$E9*'Subcontract 1'!H9,0),ROUND($E9*H9*((1+$S$4)^2)/12*'W2'!$E$5,0))))))),(IF(AND($S$4="Multi",$R$4="FY"),ROUND(((1+$M9)^('W2'!$B$20+2)*'W2'!$E$9+(1+$M9)^('W2'!$B$20+3)*'W2'!$E$10)/12*'Subcontract 1'!$E9*'Subcontract 1'!H9,0),(IF(AND($S$4="Multi",$R$4="PY"),ROUND($E9*H9*((1+$M9)^2)/12*'W2'!$E$5,0),(IF(AND($S$4&lt;&gt;"Multi",$R$4="FY"),ROUND(((1+$S$4)^('W2'!$B$20+2)*'W2'!$E$9+(1+$S$4)^('W2'!$B$20+3)*'W2'!$E$10)/12*'Subcontract 1'!$E9*'Subcontract 1'!H9,0),ROUND($E9*H9*((1+$S$4)^2)/12*'W2'!$E$5,0))))))))</f>
        <v>0</v>
      </c>
      <c r="Q9" s="187">
        <f>IF('W2'!$C$4='W2'!$D$4,(IF(AND($S$4="Multi",$R$4="FY"),ROUND(((1+$M9)^('W2'!$B$20+2)*'W2'!$F$9+(1+$M9)^('W2'!$B$20+3)*'W2'!$F$10)/12*'Subcontract 1'!$E9*'Subcontract 1'!$I9,0),(IF(AND($S$4="Multi",$R$4="PY"),ROUND($E9*$I9*((1+$M9)^3)/12*'W2'!$F$5,0),(IF(AND($S$4&lt;&gt;"Multi",$R$4="FY"),ROUND(((1+$S$4)^('W2'!$B$20+2)*'W2'!$F$9+(1+$S$4)^('W2'!$B$20+3)*'W2'!$F$10)/12*'Subcontract 1'!$E9*'Subcontract 1'!$I9,0),ROUND($E9*$I9*((1+$S$4)^3)/12*'W2'!$F$5,0))))))),(IF(AND($S$4="Multi",$R$4="FY"),ROUND(((1+$M9)^('W2'!$B$20+3)*'W2'!$F$9+(1+$M9)^('W2'!$B$20+4)*'W2'!$F$10)/12*'Subcontract 1'!$E9*'Subcontract 1'!$I9,0),(IF(AND($S$4="Multi",$R$4="PY"),ROUND($E9*$I9*((1+$M9)^3)/12*'W2'!$F$5,0),(IF(AND($S$4&lt;&gt;"Multi",$R$4="FY"),ROUND(((1+$S$4)^('W2'!$B$20+3)*'W2'!$F$9+(1+$S$4)^('W2'!$B$20+4)*'W2'!$F$10)/12*'Subcontract 1'!$E9*'Subcontract 1'!$I9,0),ROUND($E9*$I9*((1+$S$4)^3)/12*'W2'!$F$5,0))))))))</f>
        <v>0</v>
      </c>
      <c r="R9" s="187">
        <f>IF('W2'!$C$4='W2'!$D$4,(IF(AND($S$4="Multi",$R$4="FY"),ROUND(((1+$M9)^('W2'!$B$20+3)*'W2'!$G$9+(1+$M9)^('W2'!$B$20+4)*'W2'!$G$10)/12*'Subcontract 1'!$E9*'Subcontract 1'!$J9,0),(IF(AND($S$4="Multi",$R$4="PY"),ROUND($E9*$J9*((1+$M9)^4)/12*'W2'!$G$5,0),(IF(AND($S$4&lt;&gt;"Multi",$R$4="FY"),ROUND(((1+$S$4)^('W2'!$B$20+3)*'W2'!$G$9+(1+$S$4)^('W2'!$B$20+4)*'W2'!$G$10)/12*'Subcontract 1'!$E9*'Subcontract 1'!$J9,0),ROUND($E9*$J9*((1+$S$4)^4)/12*'W2'!$G$5,0))))))),(IF(AND($S$4="Multi",$R$4="FY"),ROUND(((1+$M9)^('W2'!$B$20+4)*'W2'!$G$9+(1+$M9)^('W2'!$B$20+5)*'W2'!$G$10)/12*'Subcontract 1'!$E9*'Subcontract 1'!$J9,0),(IF(AND($S$4="Multi",$R$4="PY"),ROUND($E9*$J9*((1+$M9)^4)/12*'W2'!$G$5,0),(IF(AND($S$4&lt;&gt;"Multi",$R$4="FY"),ROUND(((1+$S$4)^('W2'!$B$20+4)*'W2'!$G$9+(1+$S$4)^('W2'!$B$20+5)*'W2'!$G$10)/12*'Subcontract 1'!$E9*'Subcontract 1'!$J9,0),ROUND($E9*$J9*((1+$S$4)^4)/12*'W2'!$G$5,0))))))))</f>
        <v>0</v>
      </c>
      <c r="S9" s="188">
        <f t="shared" ref="S9:S31" si="2">SUM(N9:R9)</f>
        <v>0</v>
      </c>
      <c r="T9" s="246"/>
      <c r="U9" s="246"/>
      <c r="V9" s="246"/>
      <c r="W9" s="246"/>
      <c r="X9" s="246"/>
      <c r="Y9" s="247"/>
      <c r="Z9" s="247"/>
      <c r="AA9" s="247"/>
      <c r="AB9" s="247"/>
      <c r="AC9" s="24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x14ac:dyDescent="0.2">
      <c r="A10" s="192">
        <v>3</v>
      </c>
      <c r="B10" s="193"/>
      <c r="C10" s="193"/>
      <c r="D10" s="194"/>
      <c r="E10" s="195"/>
      <c r="F10" s="221"/>
      <c r="G10" s="221"/>
      <c r="H10" s="282"/>
      <c r="I10" s="282"/>
      <c r="J10" s="282"/>
      <c r="K10" s="283"/>
      <c r="L10" s="283"/>
      <c r="M10" s="284"/>
      <c r="N10" s="187">
        <f t="shared" si="0"/>
        <v>0</v>
      </c>
      <c r="O10" s="187">
        <f t="shared" si="1"/>
        <v>0</v>
      </c>
      <c r="P10" s="187">
        <f>IF('W2'!$C$4='W2'!$D$4,(IF(AND($S$4="Multi",$R$4="FY"),ROUND(((1+$M10)^('W2'!$B$20+1)*'W2'!$E$9+(1+$M10)^('W2'!$B$20+2)*'W2'!$E$10)/12*'Subcontract 1'!$E10*'Subcontract 1'!H10,0),(IF(AND($S$4="Multi",$R$4="PY"),ROUND($E10*H10*((1+$M10)^2)/12*'W2'!$E$5,0),(IF(AND($S$4&lt;&gt;"Multi",$R$4="FY"),ROUND(((1+$S$4)^('W2'!$B$20+1)*'W2'!$E$9+(1+$S$4)^('W2'!$B$20+2)*'W2'!$E$10)/12*'Subcontract 1'!$E10*'Subcontract 1'!H10,0),ROUND($E10*H10*((1+$S$4)^2)/12*'W2'!$E$5,0))))))),(IF(AND($S$4="Multi",$R$4="FY"),ROUND(((1+$M10)^('W2'!$B$20+2)*'W2'!$E$9+(1+$M10)^('W2'!$B$20+3)*'W2'!$E$10)/12*'Subcontract 1'!$E10*'Subcontract 1'!H10,0),(IF(AND($S$4="Multi",$R$4="PY"),ROUND($E10*H10*((1+$M10)^2)/12*'W2'!$E$5,0),(IF(AND($S$4&lt;&gt;"Multi",$R$4="FY"),ROUND(((1+$S$4)^('W2'!$B$20+2)*'W2'!$E$9+(1+$S$4)^('W2'!$B$20+3)*'W2'!$E$10)/12*'Subcontract 1'!$E10*'Subcontract 1'!H10,0),ROUND($E10*H10*((1+$S$4)^2)/12*'W2'!$E$5,0))))))))</f>
        <v>0</v>
      </c>
      <c r="Q10" s="187">
        <f>IF('W2'!$C$4='W2'!$D$4,(IF(AND($S$4="Multi",$R$4="FY"),ROUND(((1+$M10)^('W2'!$B$20+2)*'W2'!$F$9+(1+$M10)^('W2'!$B$20+3)*'W2'!$F$10)/12*'Subcontract 1'!$E10*'Subcontract 1'!$I10,0),(IF(AND($S$4="Multi",$R$4="PY"),ROUND($E10*$I10*((1+$M10)^3)/12*'W2'!$F$5,0),(IF(AND($S$4&lt;&gt;"Multi",$R$4="FY"),ROUND(((1+$S$4)^('W2'!$B$20+2)*'W2'!$F$9+(1+$S$4)^('W2'!$B$20+3)*'W2'!$F$10)/12*'Subcontract 1'!$E10*'Subcontract 1'!$I10,0),ROUND($E10*$I10*((1+$S$4)^3)/12*'W2'!$F$5,0))))))),(IF(AND($S$4="Multi",$R$4="FY"),ROUND(((1+$M10)^('W2'!$B$20+3)*'W2'!$F$9+(1+$M10)^('W2'!$B$20+4)*'W2'!$F$10)/12*'Subcontract 1'!$E10*'Subcontract 1'!$I10,0),(IF(AND($S$4="Multi",$R$4="PY"),ROUND($E10*$I10*((1+$M10)^3)/12*'W2'!$F$5,0),(IF(AND($S$4&lt;&gt;"Multi",$R$4="FY"),ROUND(((1+$S$4)^('W2'!$B$20+3)*'W2'!$F$9+(1+$S$4)^('W2'!$B$20+4)*'W2'!$F$10)/12*'Subcontract 1'!$E10*'Subcontract 1'!$I10,0),ROUND($E10*$I10*((1+$S$4)^3)/12*'W2'!$F$5,0))))))))</f>
        <v>0</v>
      </c>
      <c r="R10" s="187">
        <f>IF('W2'!$C$4='W2'!$D$4,(IF(AND($S$4="Multi",$R$4="FY"),ROUND(((1+$M10)^('W2'!$B$20+3)*'W2'!$G$9+(1+$M10)^('W2'!$B$20+4)*'W2'!$G$10)/12*'Subcontract 1'!$E10*'Subcontract 1'!$J10,0),(IF(AND($S$4="Multi",$R$4="PY"),ROUND($E10*$J10*((1+$M10)^4)/12*'W2'!$G$5,0),(IF(AND($S$4&lt;&gt;"Multi",$R$4="FY"),ROUND(((1+$S$4)^('W2'!$B$20+3)*'W2'!$G$9+(1+$S$4)^('W2'!$B$20+4)*'W2'!$G$10)/12*'Subcontract 1'!$E10*'Subcontract 1'!$J10,0),ROUND($E10*$J10*((1+$S$4)^4)/12*'W2'!$G$5,0))))))),(IF(AND($S$4="Multi",$R$4="FY"),ROUND(((1+$M10)^('W2'!$B$20+4)*'W2'!$G$9+(1+$M10)^('W2'!$B$20+5)*'W2'!$G$10)/12*'Subcontract 1'!$E10*'Subcontract 1'!$J10,0),(IF(AND($S$4="Multi",$R$4="PY"),ROUND($E10*$J10*((1+$M10)^4)/12*'W2'!$G$5,0),(IF(AND($S$4&lt;&gt;"Multi",$R$4="FY"),ROUND(((1+$S$4)^('W2'!$B$20+4)*'W2'!$G$9+(1+$S$4)^('W2'!$B$20+5)*'W2'!$G$10)/12*'Subcontract 1'!$E10*'Subcontract 1'!$J10,0),ROUND($E10*$J10*((1+$S$4)^4)/12*'W2'!$G$5,0))))))))</f>
        <v>0</v>
      </c>
      <c r="S10" s="188">
        <f t="shared" si="2"/>
        <v>0</v>
      </c>
      <c r="T10" s="246"/>
      <c r="U10" s="246"/>
      <c r="V10" s="246"/>
      <c r="W10" s="246"/>
      <c r="X10" s="246"/>
      <c r="Y10" s="247"/>
      <c r="Z10" s="247"/>
      <c r="AA10" s="247"/>
      <c r="AB10" s="247"/>
      <c r="AC10" s="24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x14ac:dyDescent="0.2">
      <c r="A11" s="192">
        <v>4</v>
      </c>
      <c r="B11" s="193"/>
      <c r="C11" s="193"/>
      <c r="D11" s="194"/>
      <c r="E11" s="195"/>
      <c r="F11" s="221"/>
      <c r="G11" s="221"/>
      <c r="H11" s="282"/>
      <c r="I11" s="282"/>
      <c r="J11" s="282"/>
      <c r="K11" s="283"/>
      <c r="L11" s="283"/>
      <c r="M11" s="284"/>
      <c r="N11" s="187">
        <f t="shared" si="0"/>
        <v>0</v>
      </c>
      <c r="O11" s="187">
        <f t="shared" si="1"/>
        <v>0</v>
      </c>
      <c r="P11" s="187">
        <f>IF('W2'!$C$4='W2'!$D$4,(IF(AND($S$4="Multi",$R$4="FY"),ROUND(((1+$M11)^('W2'!$B$20+1)*'W2'!$E$9+(1+$M11)^('W2'!$B$20+2)*'W2'!$E$10)/12*'Subcontract 1'!$E11*'Subcontract 1'!H11,0),(IF(AND($S$4="Multi",$R$4="PY"),ROUND($E11*H11*((1+$M11)^2)/12*'W2'!$E$5,0),(IF(AND($S$4&lt;&gt;"Multi",$R$4="FY"),ROUND(((1+$S$4)^('W2'!$B$20+1)*'W2'!$E$9+(1+$S$4)^('W2'!$B$20+2)*'W2'!$E$10)/12*'Subcontract 1'!$E11*'Subcontract 1'!H11,0),ROUND($E11*H11*((1+$S$4)^2)/12*'W2'!$E$5,0))))))),(IF(AND($S$4="Multi",$R$4="FY"),ROUND(((1+$M11)^('W2'!$B$20+2)*'W2'!$E$9+(1+$M11)^('W2'!$B$20+3)*'W2'!$E$10)/12*'Subcontract 1'!$E11*'Subcontract 1'!H11,0),(IF(AND($S$4="Multi",$R$4="PY"),ROUND($E11*H11*((1+$M11)^2)/12*'W2'!$E$5,0),(IF(AND($S$4&lt;&gt;"Multi",$R$4="FY"),ROUND(((1+$S$4)^('W2'!$B$20+2)*'W2'!$E$9+(1+$S$4)^('W2'!$B$20+3)*'W2'!$E$10)/12*'Subcontract 1'!$E11*'Subcontract 1'!H11,0),ROUND($E11*H11*((1+$S$4)^2)/12*'W2'!$E$5,0))))))))</f>
        <v>0</v>
      </c>
      <c r="Q11" s="187">
        <f>IF('W2'!$C$4='W2'!$D$4,(IF(AND($S$4="Multi",$R$4="FY"),ROUND(((1+$M11)^('W2'!$B$20+2)*'W2'!$F$9+(1+$M11)^('W2'!$B$20+3)*'W2'!$F$10)/12*'Subcontract 1'!$E11*'Subcontract 1'!$I11,0),(IF(AND($S$4="Multi",$R$4="PY"),ROUND($E11*$I11*((1+$M11)^3)/12*'W2'!$F$5,0),(IF(AND($S$4&lt;&gt;"Multi",$R$4="FY"),ROUND(((1+$S$4)^('W2'!$B$20+2)*'W2'!$F$9+(1+$S$4)^('W2'!$B$20+3)*'W2'!$F$10)/12*'Subcontract 1'!$E11*'Subcontract 1'!$I11,0),ROUND($E11*$I11*((1+$S$4)^3)/12*'W2'!$F$5,0))))))),(IF(AND($S$4="Multi",$R$4="FY"),ROUND(((1+$M11)^('W2'!$B$20+3)*'W2'!$F$9+(1+$M11)^('W2'!$B$20+4)*'W2'!$F$10)/12*'Subcontract 1'!$E11*'Subcontract 1'!$I11,0),(IF(AND($S$4="Multi",$R$4="PY"),ROUND($E11*$I11*((1+$M11)^3)/12*'W2'!$F$5,0),(IF(AND($S$4&lt;&gt;"Multi",$R$4="FY"),ROUND(((1+$S$4)^('W2'!$B$20+3)*'W2'!$F$9+(1+$S$4)^('W2'!$B$20+4)*'W2'!$F$10)/12*'Subcontract 1'!$E11*'Subcontract 1'!$I11,0),ROUND($E11*$I11*((1+$S$4)^3)/12*'W2'!$F$5,0))))))))</f>
        <v>0</v>
      </c>
      <c r="R11" s="187">
        <f>IF('W2'!$C$4='W2'!$D$4,(IF(AND($S$4="Multi",$R$4="FY"),ROUND(((1+$M11)^('W2'!$B$20+3)*'W2'!$G$9+(1+$M11)^('W2'!$B$20+4)*'W2'!$G$10)/12*'Subcontract 1'!$E11*'Subcontract 1'!$J11,0),(IF(AND($S$4="Multi",$R$4="PY"),ROUND($E11*$J11*((1+$M11)^4)/12*'W2'!$G$5,0),(IF(AND($S$4&lt;&gt;"Multi",$R$4="FY"),ROUND(((1+$S$4)^('W2'!$B$20+3)*'W2'!$G$9+(1+$S$4)^('W2'!$B$20+4)*'W2'!$G$10)/12*'Subcontract 1'!$E11*'Subcontract 1'!$J11,0),ROUND($E11*$J11*((1+$S$4)^4)/12*'W2'!$G$5,0))))))),(IF(AND($S$4="Multi",$R$4="FY"),ROUND(((1+$M11)^('W2'!$B$20+4)*'W2'!$G$9+(1+$M11)^('W2'!$B$20+5)*'W2'!$G$10)/12*'Subcontract 1'!$E11*'Subcontract 1'!$J11,0),(IF(AND($S$4="Multi",$R$4="PY"),ROUND($E11*$J11*((1+$M11)^4)/12*'W2'!$G$5,0),(IF(AND($S$4&lt;&gt;"Multi",$R$4="FY"),ROUND(((1+$S$4)^('W2'!$B$20+4)*'W2'!$G$9+(1+$S$4)^('W2'!$B$20+5)*'W2'!$G$10)/12*'Subcontract 1'!$E11*'Subcontract 1'!$J11,0),ROUND($E11*$J11*((1+$S$4)^4)/12*'W2'!$G$5,0))))))))</f>
        <v>0</v>
      </c>
      <c r="S11" s="188">
        <f t="shared" si="2"/>
        <v>0</v>
      </c>
      <c r="T11" s="246"/>
      <c r="U11" s="246"/>
      <c r="V11" s="246"/>
      <c r="W11" s="246"/>
      <c r="X11" s="246"/>
      <c r="Y11" s="247"/>
      <c r="Z11" s="247"/>
      <c r="AA11" s="247"/>
      <c r="AB11" s="247"/>
      <c r="AC11" s="24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x14ac:dyDescent="0.2">
      <c r="A12" s="192">
        <v>5</v>
      </c>
      <c r="B12" s="193"/>
      <c r="C12" s="193"/>
      <c r="D12" s="194"/>
      <c r="E12" s="195"/>
      <c r="F12" s="221"/>
      <c r="G12" s="221"/>
      <c r="H12" s="282"/>
      <c r="I12" s="282"/>
      <c r="J12" s="282"/>
      <c r="K12" s="283"/>
      <c r="L12" s="283"/>
      <c r="M12" s="284"/>
      <c r="N12" s="187">
        <f t="shared" si="0"/>
        <v>0</v>
      </c>
      <c r="O12" s="187">
        <f t="shared" si="1"/>
        <v>0</v>
      </c>
      <c r="P12" s="187">
        <f>IF('W2'!$C$4='W2'!$D$4,(IF(AND($S$4="Multi",$R$4="FY"),ROUND(((1+$M12)^('W2'!$B$20+1)*'W2'!$E$9+(1+$M12)^('W2'!$B$20+2)*'W2'!$E$10)/12*'Subcontract 1'!$E12*'Subcontract 1'!H12,0),(IF(AND($S$4="Multi",$R$4="PY"),ROUND($E12*H12*((1+$M12)^2)/12*'W2'!$E$5,0),(IF(AND($S$4&lt;&gt;"Multi",$R$4="FY"),ROUND(((1+$S$4)^('W2'!$B$20+1)*'W2'!$E$9+(1+$S$4)^('W2'!$B$20+2)*'W2'!$E$10)/12*'Subcontract 1'!$E12*'Subcontract 1'!H12,0),ROUND($E12*H12*((1+$S$4)^2)/12*'W2'!$E$5,0))))))),(IF(AND($S$4="Multi",$R$4="FY"),ROUND(((1+$M12)^('W2'!$B$20+2)*'W2'!$E$9+(1+$M12)^('W2'!$B$20+3)*'W2'!$E$10)/12*'Subcontract 1'!$E12*'Subcontract 1'!H12,0),(IF(AND($S$4="Multi",$R$4="PY"),ROUND($E12*H12*((1+$M12)^2)/12*'W2'!$E$5,0),(IF(AND($S$4&lt;&gt;"Multi",$R$4="FY"),ROUND(((1+$S$4)^('W2'!$B$20+2)*'W2'!$E$9+(1+$S$4)^('W2'!$B$20+3)*'W2'!$E$10)/12*'Subcontract 1'!$E12*'Subcontract 1'!H12,0),ROUND($E12*H12*((1+$S$4)^2)/12*'W2'!$E$5,0))))))))</f>
        <v>0</v>
      </c>
      <c r="Q12" s="187">
        <f>IF('W2'!$C$4='W2'!$D$4,(IF(AND($S$4="Multi",$R$4="FY"),ROUND(((1+$M12)^('W2'!$B$20+2)*'W2'!$F$9+(1+$M12)^('W2'!$B$20+3)*'W2'!$F$10)/12*'Subcontract 1'!$E12*'Subcontract 1'!$I12,0),(IF(AND($S$4="Multi",$R$4="PY"),ROUND($E12*$I12*((1+$M12)^3)/12*'W2'!$F$5,0),(IF(AND($S$4&lt;&gt;"Multi",$R$4="FY"),ROUND(((1+$S$4)^('W2'!$B$20+2)*'W2'!$F$9+(1+$S$4)^('W2'!$B$20+3)*'W2'!$F$10)/12*'Subcontract 1'!$E12*'Subcontract 1'!$I12,0),ROUND($E12*$I12*((1+$S$4)^3)/12*'W2'!$F$5,0))))))),(IF(AND($S$4="Multi",$R$4="FY"),ROUND(((1+$M12)^('W2'!$B$20+3)*'W2'!$F$9+(1+$M12)^('W2'!$B$20+4)*'W2'!$F$10)/12*'Subcontract 1'!$E12*'Subcontract 1'!$I12,0),(IF(AND($S$4="Multi",$R$4="PY"),ROUND($E12*$I12*((1+$M12)^3)/12*'W2'!$F$5,0),(IF(AND($S$4&lt;&gt;"Multi",$R$4="FY"),ROUND(((1+$S$4)^('W2'!$B$20+3)*'W2'!$F$9+(1+$S$4)^('W2'!$B$20+4)*'W2'!$F$10)/12*'Subcontract 1'!$E12*'Subcontract 1'!$I12,0),ROUND($E12*$I12*((1+$S$4)^3)/12*'W2'!$F$5,0))))))))</f>
        <v>0</v>
      </c>
      <c r="R12" s="187">
        <f>IF('W2'!$C$4='W2'!$D$4,(IF(AND($S$4="Multi",$R$4="FY"),ROUND(((1+$M12)^('W2'!$B$20+3)*'W2'!$G$9+(1+$M12)^('W2'!$B$20+4)*'W2'!$G$10)/12*'Subcontract 1'!$E12*'Subcontract 1'!$J12,0),(IF(AND($S$4="Multi",$R$4="PY"),ROUND($E12*$J12*((1+$M12)^4)/12*'W2'!$G$5,0),(IF(AND($S$4&lt;&gt;"Multi",$R$4="FY"),ROUND(((1+$S$4)^('W2'!$B$20+3)*'W2'!$G$9+(1+$S$4)^('W2'!$B$20+4)*'W2'!$G$10)/12*'Subcontract 1'!$E12*'Subcontract 1'!$J12,0),ROUND($E12*$J12*((1+$S$4)^4)/12*'W2'!$G$5,0))))))),(IF(AND($S$4="Multi",$R$4="FY"),ROUND(((1+$M12)^('W2'!$B$20+4)*'W2'!$G$9+(1+$M12)^('W2'!$B$20+5)*'W2'!$G$10)/12*'Subcontract 1'!$E12*'Subcontract 1'!$J12,0),(IF(AND($S$4="Multi",$R$4="PY"),ROUND($E12*$J12*((1+$M12)^4)/12*'W2'!$G$5,0),(IF(AND($S$4&lt;&gt;"Multi",$R$4="FY"),ROUND(((1+$S$4)^('W2'!$B$20+4)*'W2'!$G$9+(1+$S$4)^('W2'!$B$20+5)*'W2'!$G$10)/12*'Subcontract 1'!$E12*'Subcontract 1'!$J12,0),ROUND($E12*$J12*((1+$S$4)^4)/12*'W2'!$G$5,0))))))))</f>
        <v>0</v>
      </c>
      <c r="S12" s="188">
        <f t="shared" si="2"/>
        <v>0</v>
      </c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hidden="1" x14ac:dyDescent="0.2">
      <c r="A13" s="192">
        <v>6</v>
      </c>
      <c r="B13" s="193"/>
      <c r="C13" s="193"/>
      <c r="D13" s="194"/>
      <c r="E13" s="195"/>
      <c r="F13" s="221"/>
      <c r="G13" s="221"/>
      <c r="H13" s="221"/>
      <c r="I13" s="221"/>
      <c r="J13" s="221"/>
      <c r="K13" s="190" t="s">
        <v>176</v>
      </c>
      <c r="L13" s="190">
        <v>12</v>
      </c>
      <c r="M13" s="191">
        <v>0.03</v>
      </c>
      <c r="N13" s="187">
        <f>IF(AND($S$4="Multi",$R$4="FY"),ROUND(((1+$M13)^'W2'!$B$20*'W2'!$C$9+(1+$M13)^('W2'!$B$20+1)*'W2'!$C$10)/12*'Subcontract 1'!$E13*'Subcontract 1'!$F13,0),(IF(AND($S$4="Multi",$R$4="PY"),ROUND(E13*F13/12*'W2'!$C$5,0),(IF(AND($S$4&lt;&gt;"Multi",$R$4="FY"),ROUND(((1+$S$4)^'W2'!$B$20*'W2'!$C$9+(1+$S$4)^('W2'!$B$20+1)*'W2'!$C$10)/12*'Subcontract 1'!$E13*'Subcontract 1'!$F13,0),ROUND($E13*$F13/12*'W2'!$C$5,0))))))</f>
        <v>0</v>
      </c>
      <c r="O13" s="187">
        <f>IF('W2'!$C$4='W2'!$D$4,(IF(AND($S$4="Multi",$R$4="FY"),ROUND(((1+$M13)^('W2'!$B$20)*'W2'!$D$9+(1+$M13)^('W2'!$B$20+1)*'W2'!$D$10)/12*'Subcontract 1'!$E13*'Subcontract 1'!$G13,0),(IF(AND($S$4="Multi",$R$4="PY"),ROUND($E13*$G13*(1+M13)/12*'W2'!$D$5,0),(IF(AND($S$4&lt;&gt;"Multi",$R$4="FY"),ROUND(((1+$S$4)^('W2'!$B$20)*'W2'!$D$9+(1+$S$4)^('W2'!$B$20+1)*'W2'!$D$10)/12*'Subcontract 1'!$E13*'Subcontract 1'!$G13,0),ROUND($E13*$G13*(1+$S$4)/12*'W2'!$D$5,0))))))),(IF(AND($S$4="Multi",$R$4="FY"),ROUND(((1+$M13)^('W2'!$B$20+1)*'W2'!$D$9+(1+$M13)^('W2'!$B$20+2)*'W2'!$D$10)/12*'Subcontract 1'!$E13*'Subcontract 1'!$G13,0),(IF(AND($S$4="Multi",$R$4="PY"),ROUND($E13*$G13*(1+M13)/12*'W2'!$D$5,0),(IF(AND($S$4&lt;&gt;"Multi",$R$4="FY"),ROUND(((1+$S$4)^('W2'!$B$20+1)*'W2'!$D$9+(1+$S$4)^('W2'!$B$20+2)*'W2'!$D$10)/12*'Subcontract 1'!$E13*'Subcontract 1'!$G13,0),ROUND($E13*$G13*(1+$S$4)/12*'W2'!$D$5,0))))))))</f>
        <v>0</v>
      </c>
      <c r="P13" s="187">
        <f>IF('W2'!$C$4='W2'!$D$4,(IF(AND($S$4="Multi",$R$4="FY"),ROUND(((1+$M13)^('W2'!$B$20+1)*'W2'!$E$9+(1+$M13)^('W2'!$B$20+2)*'W2'!$E$10)/12*'Subcontract 1'!$E13*'Subcontract 1'!H13,0),(IF(AND($S$4="Multi",$R$4="PY"),ROUND($E13*H13*((1+$M13)^2)/12*'W2'!$E$5,0),(IF(AND($S$4&lt;&gt;"Multi",$R$4="FY"),ROUND(((1+$S$4)^('W2'!$B$20+1)*'W2'!$E$9+(1+$S$4)^('W2'!$B$20+2)*'W2'!$E$10)/12*'Subcontract 1'!$E13*'Subcontract 1'!H13,0),ROUND($E13*H13*((1+$S$4)^2)/12*'W2'!$E$5,0))))))),(IF(AND($S$4="Multi",$R$4="FY"),ROUND(((1+$M13)^('W2'!$B$20+2)*'W2'!$E$9+(1+$M13)^('W2'!$B$20+3)*'W2'!$E$10)/12*'Subcontract 1'!$E13*'Subcontract 1'!H13,0),(IF(AND($S$4="Multi",$R$4="PY"),ROUND($E13*H13*((1+$M13)^2)/12*'W2'!$E$5,0),(IF(AND($S$4&lt;&gt;"Multi",$R$4="FY"),ROUND(((1+$S$4)^('W2'!$B$20+2)*'W2'!$E$9+(1+$S$4)^('W2'!$B$20+3)*'W2'!$E$10)/12*'Subcontract 1'!$E13*'Subcontract 1'!H13,0),ROUND($E13*H13*((1+$S$4)^2)/12*'W2'!$E$5,0))))))))</f>
        <v>0</v>
      </c>
      <c r="Q13" s="187">
        <f>IF('W2'!$C$4='W2'!$D$4,(IF(AND($S$4="Multi",$R$4="FY"),ROUND(((1+$M13)^('W2'!$B$20+2)*'W2'!$F$9+(1+$M13)^('W2'!$B$20+3)*'W2'!$F$10)/12*'Subcontract 1'!$E13*'Subcontract 1'!$I13,0),(IF(AND($S$4="Multi",$R$4="PY"),ROUND($E13*$I13*((1+$M13)^3)/12*'W2'!$F$5,0),(IF(AND($S$4&lt;&gt;"Multi",$R$4="FY"),ROUND(((1+$S$4)^('W2'!$B$20+2)*'W2'!$F$9+(1+$S$4)^('W2'!$B$20+3)*'W2'!$F$10)/12*'Subcontract 1'!$E13*'Subcontract 1'!$I13,0),ROUND($E13*$I13*((1+$S$4)^3)/12*'W2'!$F$5,0))))))),(IF(AND($S$4="Multi",$R$4="FY"),ROUND(((1+$M13)^('W2'!$B$20+3)*'W2'!$F$9+(1+$M13)^('W2'!$B$20+4)*'W2'!$F$10)/12*'Subcontract 1'!$E13*'Subcontract 1'!$I13,0),(IF(AND($S$4="Multi",$R$4="PY"),ROUND($E13*$I13*((1+$M13)^3)/12*'W2'!$F$5,0),(IF(AND($S$4&lt;&gt;"Multi",$R$4="FY"),ROUND(((1+$S$4)^('W2'!$B$20+3)*'W2'!$F$9+(1+$S$4)^('W2'!$B$20+4)*'W2'!$F$10)/12*'Subcontract 1'!$E13*'Subcontract 1'!$I13,0),ROUND($E13*$I13*((1+$S$4)^3)/12*'W2'!$F$5,0))))))))</f>
        <v>0</v>
      </c>
      <c r="R13" s="187">
        <f>IF('W2'!$C$4='W2'!$D$4,(IF(AND($S$4="Multi",$R$4="FY"),ROUND(((1+$M13)^('W2'!$B$20+3)*'W2'!$G$9+(1+$M13)^('W2'!$B$20+4)*'W2'!$G$10)/12*'Subcontract 1'!$E13*'Subcontract 1'!$J13,0),(IF(AND($S$4="Multi",$R$4="PY"),ROUND($E13*$J13*((1+$M13)^4)/12*'W2'!$G$5,0),(IF(AND($S$4&lt;&gt;"Multi",$R$4="FY"),ROUND(((1+$S$4)^('W2'!$B$20+3)*'W2'!$G$9+(1+$S$4)^('W2'!$B$20+4)*'W2'!$G$10)/12*'Subcontract 1'!$E13*'Subcontract 1'!$J13,0),ROUND($E13*$J13*((1+$S$4)^4)/12*'W2'!$G$5,0))))))),(IF(AND($S$4="Multi",$R$4="FY"),ROUND(((1+$M13)^('W2'!$B$20+4)*'W2'!$G$9+(1+$M13)^('W2'!$B$20+5)*'W2'!$G$10)/12*'Subcontract 1'!$E13*'Subcontract 1'!$J13,0),(IF(AND($S$4="Multi",$R$4="PY"),ROUND($E13*$J13*((1+$M13)^4)/12*'W2'!$G$5,0),(IF(AND($S$4&lt;&gt;"Multi",$R$4="FY"),ROUND(((1+$S$4)^('W2'!$B$20+4)*'W2'!$G$9+(1+$S$4)^('W2'!$B$20+5)*'W2'!$G$10)/12*'Subcontract 1'!$E13*'Subcontract 1'!$J13,0),ROUND($E13*$J13*((1+$S$4)^4)/12*'W2'!$G$5,0))))))))</f>
        <v>0</v>
      </c>
      <c r="S13" s="188">
        <f t="shared" si="2"/>
        <v>0</v>
      </c>
      <c r="T13" s="246"/>
      <c r="U13" s="246"/>
      <c r="V13" s="246"/>
      <c r="W13" s="246"/>
      <c r="X13" s="246"/>
      <c r="Y13" s="247"/>
      <c r="Z13" s="247"/>
      <c r="AA13" s="247"/>
      <c r="AB13" s="247"/>
      <c r="AC13" s="24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hidden="1" x14ac:dyDescent="0.2">
      <c r="A14" s="192">
        <v>7</v>
      </c>
      <c r="B14" s="193"/>
      <c r="C14" s="193"/>
      <c r="D14" s="194"/>
      <c r="E14" s="195"/>
      <c r="F14" s="221"/>
      <c r="G14" s="221"/>
      <c r="H14" s="221"/>
      <c r="I14" s="221"/>
      <c r="J14" s="221"/>
      <c r="K14" s="190" t="s">
        <v>176</v>
      </c>
      <c r="L14" s="190">
        <v>12</v>
      </c>
      <c r="M14" s="191">
        <v>0.03</v>
      </c>
      <c r="N14" s="187">
        <f>IF(AND($S$4="Multi",$R$4="FY"),ROUND(((1+$M14)^'W2'!$B$20*'W2'!$C$9+(1+$M14)^('W2'!$B$20+1)*'W2'!$C$10)/12*'Subcontract 1'!$E14*'Subcontract 1'!$F14,0),(IF(AND($S$4="Multi",$R$4="PY"),ROUND(E14*F14/12*'W2'!$C$5,0),(IF(AND($S$4&lt;&gt;"Multi",$R$4="FY"),ROUND(((1+$S$4)^'W2'!$B$20*'W2'!$C$9+(1+$S$4)^('W2'!$B$20+1)*'W2'!$C$10)/12*'Subcontract 1'!$E14*'Subcontract 1'!$F14,0),ROUND($E14*$F14/12*'W2'!$C$5,0))))))</f>
        <v>0</v>
      </c>
      <c r="O14" s="187">
        <f>IF('W2'!$C$4='W2'!$D$4,(IF(AND($S$4="Multi",$R$4="FY"),ROUND(((1+$M14)^('W2'!$B$20)*'W2'!$D$9+(1+$M14)^('W2'!$B$20+1)*'W2'!$D$10)/12*'Subcontract 1'!$E14*'Subcontract 1'!$G14,0),(IF(AND($S$4="Multi",$R$4="PY"),ROUND($E14*$G14*(1+M14)/12*'W2'!$D$5,0),(IF(AND($S$4&lt;&gt;"Multi",$R$4="FY"),ROUND(((1+$S$4)^('W2'!$B$20)*'W2'!$D$9+(1+$S$4)^('W2'!$B$20+1)*'W2'!$D$10)/12*'Subcontract 1'!$E14*'Subcontract 1'!$G14,0),ROUND($E14*$G14*(1+$S$4)/12*'W2'!$D$5,0))))))),(IF(AND($S$4="Multi",$R$4="FY"),ROUND(((1+$M14)^('W2'!$B$20+1)*'W2'!$D$9+(1+$M14)^('W2'!$B$20+2)*'W2'!$D$10)/12*'Subcontract 1'!$E14*'Subcontract 1'!$G14,0),(IF(AND($S$4="Multi",$R$4="PY"),ROUND($E14*$G14*(1+M14)/12*'W2'!$D$5,0),(IF(AND($S$4&lt;&gt;"Multi",$R$4="FY"),ROUND(((1+$S$4)^('W2'!$B$20+1)*'W2'!$D$9+(1+$S$4)^('W2'!$B$20+2)*'W2'!$D$10)/12*'Subcontract 1'!$E14*'Subcontract 1'!$G14,0),ROUND($E14*$G14*(1+$S$4)/12*'W2'!$D$5,0))))))))</f>
        <v>0</v>
      </c>
      <c r="P14" s="187">
        <f>IF('W2'!$C$4='W2'!$D$4,(IF(AND($S$4="Multi",$R$4="FY"),ROUND(((1+$M14)^('W2'!$B$20+1)*'W2'!$E$9+(1+$M14)^('W2'!$B$20+2)*'W2'!$E$10)/12*'Subcontract 1'!$E14*'Subcontract 1'!H14,0),(IF(AND($S$4="Multi",$R$4="PY"),ROUND($E14*H14*((1+$M14)^2)/12*'W2'!$E$5,0),(IF(AND($S$4&lt;&gt;"Multi",$R$4="FY"),ROUND(((1+$S$4)^('W2'!$B$20+1)*'W2'!$E$9+(1+$S$4)^('W2'!$B$20+2)*'W2'!$E$10)/12*'Subcontract 1'!$E14*'Subcontract 1'!H14,0),ROUND($E14*H14*((1+$S$4)^2)/12*'W2'!$E$5,0))))))),(IF(AND($S$4="Multi",$R$4="FY"),ROUND(((1+$M14)^('W2'!$B$20+2)*'W2'!$E$9+(1+$M14)^('W2'!$B$20+3)*'W2'!$E$10)/12*'Subcontract 1'!$E14*'Subcontract 1'!H14,0),(IF(AND($S$4="Multi",$R$4="PY"),ROUND($E14*H14*((1+$M14)^2)/12*'W2'!$E$5,0),(IF(AND($S$4&lt;&gt;"Multi",$R$4="FY"),ROUND(((1+$S$4)^('W2'!$B$20+2)*'W2'!$E$9+(1+$S$4)^('W2'!$B$20+3)*'W2'!$E$10)/12*'Subcontract 1'!$E14*'Subcontract 1'!H14,0),ROUND($E14*H14*((1+$S$4)^2)/12*'W2'!$E$5,0))))))))</f>
        <v>0</v>
      </c>
      <c r="Q14" s="187">
        <f>IF('W2'!$C$4='W2'!$D$4,(IF(AND($S$4="Multi",$R$4="FY"),ROUND(((1+$M14)^('W2'!$B$20+2)*'W2'!$F$9+(1+$M14)^('W2'!$B$20+3)*'W2'!$F$10)/12*'Subcontract 1'!$E14*'Subcontract 1'!$I14,0),(IF(AND($S$4="Multi",$R$4="PY"),ROUND($E14*$I14*((1+$M14)^3)/12*'W2'!$F$5,0),(IF(AND($S$4&lt;&gt;"Multi",$R$4="FY"),ROUND(((1+$S$4)^('W2'!$B$20+2)*'W2'!$F$9+(1+$S$4)^('W2'!$B$20+3)*'W2'!$F$10)/12*'Subcontract 1'!$E14*'Subcontract 1'!$I14,0),ROUND($E14*$I14*((1+$S$4)^3)/12*'W2'!$F$5,0))))))),(IF(AND($S$4="Multi",$R$4="FY"),ROUND(((1+$M14)^('W2'!$B$20+3)*'W2'!$F$9+(1+$M14)^('W2'!$B$20+4)*'W2'!$F$10)/12*'Subcontract 1'!$E14*'Subcontract 1'!$I14,0),(IF(AND($S$4="Multi",$R$4="PY"),ROUND($E14*$I14*((1+$M14)^3)/12*'W2'!$F$5,0),(IF(AND($S$4&lt;&gt;"Multi",$R$4="FY"),ROUND(((1+$S$4)^('W2'!$B$20+3)*'W2'!$F$9+(1+$S$4)^('W2'!$B$20+4)*'W2'!$F$10)/12*'Subcontract 1'!$E14*'Subcontract 1'!$I14,0),ROUND($E14*$I14*((1+$S$4)^3)/12*'W2'!$F$5,0))))))))</f>
        <v>0</v>
      </c>
      <c r="R14" s="187">
        <f>IF('W2'!$C$4='W2'!$D$4,(IF(AND($S$4="Multi",$R$4="FY"),ROUND(((1+$M14)^('W2'!$B$20+3)*'W2'!$G$9+(1+$M14)^('W2'!$B$20+4)*'W2'!$G$10)/12*'Subcontract 1'!$E14*'Subcontract 1'!$J14,0),(IF(AND($S$4="Multi",$R$4="PY"),ROUND($E14*$J14*((1+$M14)^4)/12*'W2'!$G$5,0),(IF(AND($S$4&lt;&gt;"Multi",$R$4="FY"),ROUND(((1+$S$4)^('W2'!$B$20+3)*'W2'!$G$9+(1+$S$4)^('W2'!$B$20+4)*'W2'!$G$10)/12*'Subcontract 1'!$E14*'Subcontract 1'!$J14,0),ROUND($E14*$J14*((1+$S$4)^4)/12*'W2'!$G$5,0))))))),(IF(AND($S$4="Multi",$R$4="FY"),ROUND(((1+$M14)^('W2'!$B$20+4)*'W2'!$G$9+(1+$M14)^('W2'!$B$20+5)*'W2'!$G$10)/12*'Subcontract 1'!$E14*'Subcontract 1'!$J14,0),(IF(AND($S$4="Multi",$R$4="PY"),ROUND($E14*$J14*((1+$M14)^4)/12*'W2'!$G$5,0),(IF(AND($S$4&lt;&gt;"Multi",$R$4="FY"),ROUND(((1+$S$4)^('W2'!$B$20+4)*'W2'!$G$9+(1+$S$4)^('W2'!$B$20+5)*'W2'!$G$10)/12*'Subcontract 1'!$E14*'Subcontract 1'!$J14,0),ROUND($E14*$J14*((1+$S$4)^4)/12*'W2'!$G$5,0))))))))</f>
        <v>0</v>
      </c>
      <c r="S14" s="188">
        <f t="shared" si="2"/>
        <v>0</v>
      </c>
      <c r="T14" s="246"/>
      <c r="U14" s="246"/>
      <c r="V14" s="246"/>
      <c r="W14" s="246"/>
      <c r="X14" s="246"/>
      <c r="Y14" s="247"/>
      <c r="Z14" s="247"/>
      <c r="AA14" s="247"/>
      <c r="AB14" s="247"/>
      <c r="AC14" s="24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idden="1" x14ac:dyDescent="0.2">
      <c r="A15" s="192">
        <v>8</v>
      </c>
      <c r="B15" s="193"/>
      <c r="C15" s="193"/>
      <c r="D15" s="194"/>
      <c r="E15" s="195"/>
      <c r="F15" s="221"/>
      <c r="G15" s="221"/>
      <c r="H15" s="221"/>
      <c r="I15" s="221"/>
      <c r="J15" s="221"/>
      <c r="K15" s="190" t="s">
        <v>176</v>
      </c>
      <c r="L15" s="190">
        <v>12</v>
      </c>
      <c r="M15" s="191">
        <v>0.03</v>
      </c>
      <c r="N15" s="187">
        <f>IF(AND($S$4="Multi",$R$4="FY"),ROUND(((1+$M15)^'W2'!$B$20*'W2'!$C$9+(1+$M15)^('W2'!$B$20+1)*'W2'!$C$10)/12*'Subcontract 1'!$E15*'Subcontract 1'!$F15,0),(IF(AND($S$4="Multi",$R$4="PY"),ROUND(E15*F15/12*'W2'!$C$5,0),(IF(AND($S$4&lt;&gt;"Multi",$R$4="FY"),ROUND(((1+$S$4)^'W2'!$B$20*'W2'!$C$9+(1+$S$4)^('W2'!$B$20+1)*'W2'!$C$10)/12*'Subcontract 1'!$E15*'Subcontract 1'!$F15,0),ROUND($E15*$F15/12*'W2'!$C$5,0))))))</f>
        <v>0</v>
      </c>
      <c r="O15" s="187">
        <f>IF('W2'!$C$4='W2'!$D$4,(IF(AND($S$4="Multi",$R$4="FY"),ROUND(((1+$M15)^('W2'!$B$20)*'W2'!$D$9+(1+$M15)^('W2'!$B$20+1)*'W2'!$D$10)/12*'Subcontract 1'!$E15*'Subcontract 1'!$G15,0),(IF(AND($S$4="Multi",$R$4="PY"),ROUND($E15*$G15*(1+M15)/12*'W2'!$D$5,0),(IF(AND($S$4&lt;&gt;"Multi",$R$4="FY"),ROUND(((1+$S$4)^('W2'!$B$20)*'W2'!$D$9+(1+$S$4)^('W2'!$B$20+1)*'W2'!$D$10)/12*'Subcontract 1'!$E15*'Subcontract 1'!$G15,0),ROUND($E15*$G15*(1+$S$4)/12*'W2'!$D$5,0))))))),(IF(AND($S$4="Multi",$R$4="FY"),ROUND(((1+$M15)^('W2'!$B$20+1)*'W2'!$D$9+(1+$M15)^('W2'!$B$20+2)*'W2'!$D$10)/12*'Subcontract 1'!$E15*'Subcontract 1'!$G15,0),(IF(AND($S$4="Multi",$R$4="PY"),ROUND($E15*$G15*(1+M15)/12*'W2'!$D$5,0),(IF(AND($S$4&lt;&gt;"Multi",$R$4="FY"),ROUND(((1+$S$4)^('W2'!$B$20+1)*'W2'!$D$9+(1+$S$4)^('W2'!$B$20+2)*'W2'!$D$10)/12*'Subcontract 1'!$E15*'Subcontract 1'!$G15,0),ROUND($E15*$G15*(1+$S$4)/12*'W2'!$D$5,0))))))))</f>
        <v>0</v>
      </c>
      <c r="P15" s="187">
        <f>IF('W2'!$C$4='W2'!$D$4,(IF(AND($S$4="Multi",$R$4="FY"),ROUND(((1+$M15)^('W2'!$B$20+1)*'W2'!$E$9+(1+$M15)^('W2'!$B$20+2)*'W2'!$E$10)/12*'Subcontract 1'!$E15*'Subcontract 1'!H15,0),(IF(AND($S$4="Multi",$R$4="PY"),ROUND($E15*H15*((1+$M15)^2)/12*'W2'!$E$5,0),(IF(AND($S$4&lt;&gt;"Multi",$R$4="FY"),ROUND(((1+$S$4)^('W2'!$B$20+1)*'W2'!$E$9+(1+$S$4)^('W2'!$B$20+2)*'W2'!$E$10)/12*'Subcontract 1'!$E15*'Subcontract 1'!H15,0),ROUND($E15*H15*((1+$S$4)^2)/12*'W2'!$E$5,0))))))),(IF(AND($S$4="Multi",$R$4="FY"),ROUND(((1+$M15)^('W2'!$B$20+2)*'W2'!$E$9+(1+$M15)^('W2'!$B$20+3)*'W2'!$E$10)/12*'Subcontract 1'!$E15*'Subcontract 1'!H15,0),(IF(AND($S$4="Multi",$R$4="PY"),ROUND($E15*H15*((1+$M15)^2)/12*'W2'!$E$5,0),(IF(AND($S$4&lt;&gt;"Multi",$R$4="FY"),ROUND(((1+$S$4)^('W2'!$B$20+2)*'W2'!$E$9+(1+$S$4)^('W2'!$B$20+3)*'W2'!$E$10)/12*'Subcontract 1'!$E15*'Subcontract 1'!H15,0),ROUND($E15*H15*((1+$S$4)^2)/12*'W2'!$E$5,0))))))))</f>
        <v>0</v>
      </c>
      <c r="Q15" s="187">
        <f>IF('W2'!$C$4='W2'!$D$4,(IF(AND($S$4="Multi",$R$4="FY"),ROUND(((1+$M15)^('W2'!$B$20+2)*'W2'!$F$9+(1+$M15)^('W2'!$B$20+3)*'W2'!$F$10)/12*'Subcontract 1'!$E15*'Subcontract 1'!$I15,0),(IF(AND($S$4="Multi",$R$4="PY"),ROUND($E15*$I15*((1+$M15)^3)/12*'W2'!$F$5,0),(IF(AND($S$4&lt;&gt;"Multi",$R$4="FY"),ROUND(((1+$S$4)^('W2'!$B$20+2)*'W2'!$F$9+(1+$S$4)^('W2'!$B$20+3)*'W2'!$F$10)/12*'Subcontract 1'!$E15*'Subcontract 1'!$I15,0),ROUND($E15*$I15*((1+$S$4)^3)/12*'W2'!$F$5,0))))))),(IF(AND($S$4="Multi",$R$4="FY"),ROUND(((1+$M15)^('W2'!$B$20+3)*'W2'!$F$9+(1+$M15)^('W2'!$B$20+4)*'W2'!$F$10)/12*'Subcontract 1'!$E15*'Subcontract 1'!$I15,0),(IF(AND($S$4="Multi",$R$4="PY"),ROUND($E15*$I15*((1+$M15)^3)/12*'W2'!$F$5,0),(IF(AND($S$4&lt;&gt;"Multi",$R$4="FY"),ROUND(((1+$S$4)^('W2'!$B$20+3)*'W2'!$F$9+(1+$S$4)^('W2'!$B$20+4)*'W2'!$F$10)/12*'Subcontract 1'!$E15*'Subcontract 1'!$I15,0),ROUND($E15*$I15*((1+$S$4)^3)/12*'W2'!$F$5,0))))))))</f>
        <v>0</v>
      </c>
      <c r="R15" s="187">
        <f>IF('W2'!$C$4='W2'!$D$4,(IF(AND($S$4="Multi",$R$4="FY"),ROUND(((1+$M15)^('W2'!$B$20+3)*'W2'!$G$9+(1+$M15)^('W2'!$B$20+4)*'W2'!$G$10)/12*'Subcontract 1'!$E15*'Subcontract 1'!$J15,0),(IF(AND($S$4="Multi",$R$4="PY"),ROUND($E15*$J15*((1+$M15)^4)/12*'W2'!$G$5,0),(IF(AND($S$4&lt;&gt;"Multi",$R$4="FY"),ROUND(((1+$S$4)^('W2'!$B$20+3)*'W2'!$G$9+(1+$S$4)^('W2'!$B$20+4)*'W2'!$G$10)/12*'Subcontract 1'!$E15*'Subcontract 1'!$J15,0),ROUND($E15*$J15*((1+$S$4)^4)/12*'W2'!$G$5,0))))))),(IF(AND($S$4="Multi",$R$4="FY"),ROUND(((1+$M15)^('W2'!$B$20+4)*'W2'!$G$9+(1+$M15)^('W2'!$B$20+5)*'W2'!$G$10)/12*'Subcontract 1'!$E15*'Subcontract 1'!$J15,0),(IF(AND($S$4="Multi",$R$4="PY"),ROUND($E15*$J15*((1+$M15)^4)/12*'W2'!$G$5,0),(IF(AND($S$4&lt;&gt;"Multi",$R$4="FY"),ROUND(((1+$S$4)^('W2'!$B$20+4)*'W2'!$G$9+(1+$S$4)^('W2'!$B$20+5)*'W2'!$G$10)/12*'Subcontract 1'!$E15*'Subcontract 1'!$J15,0),ROUND($E15*$J15*((1+$S$4)^4)/12*'W2'!$G$5,0))))))))</f>
        <v>0</v>
      </c>
      <c r="S15" s="188">
        <f t="shared" si="2"/>
        <v>0</v>
      </c>
      <c r="T15" s="246"/>
      <c r="U15" s="246"/>
      <c r="V15" s="246"/>
      <c r="W15" s="246"/>
      <c r="X15" s="246"/>
      <c r="Y15" s="247"/>
      <c r="Z15" s="247"/>
      <c r="AA15" s="247"/>
      <c r="AB15" s="247"/>
      <c r="AC15" s="24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hidden="1" x14ac:dyDescent="0.2">
      <c r="A16" s="192">
        <v>9</v>
      </c>
      <c r="B16" s="193"/>
      <c r="C16" s="193"/>
      <c r="D16" s="194"/>
      <c r="E16" s="195"/>
      <c r="F16" s="221"/>
      <c r="G16" s="221"/>
      <c r="H16" s="221"/>
      <c r="I16" s="221"/>
      <c r="J16" s="221"/>
      <c r="K16" s="190" t="s">
        <v>176</v>
      </c>
      <c r="L16" s="190">
        <v>12</v>
      </c>
      <c r="M16" s="191">
        <v>0.03</v>
      </c>
      <c r="N16" s="187">
        <f>IF(AND($S$4="Multi",$R$4="FY"),ROUND(((1+$M16)^'W2'!$B$20*'W2'!$C$9+(1+$M16)^('W2'!$B$20+1)*'W2'!$C$10)/12*'Subcontract 1'!$E16*'Subcontract 1'!$F16,0),(IF(AND($S$4="Multi",$R$4="PY"),ROUND(E16*F16/12*'W2'!$C$5,0),(IF(AND($S$4&lt;&gt;"Multi",$R$4="FY"),ROUND(((1+$S$4)^'W2'!$B$20*'W2'!$C$9+(1+$S$4)^('W2'!$B$20+1)*'W2'!$C$10)/12*'Subcontract 1'!$E16*'Subcontract 1'!$F16,0),ROUND($E16*$F16/12*'W2'!$C$5,0))))))</f>
        <v>0</v>
      </c>
      <c r="O16" s="187">
        <f>IF('W2'!$C$4='W2'!$D$4,(IF(AND($S$4="Multi",$R$4="FY"),ROUND(((1+$M16)^('W2'!$B$20)*'W2'!$D$9+(1+$M16)^('W2'!$B$20+1)*'W2'!$D$10)/12*'Subcontract 1'!$E16*'Subcontract 1'!$G16,0),(IF(AND($S$4="Multi",$R$4="PY"),ROUND($E16*$G16*(1+M16)/12*'W2'!$D$5,0),(IF(AND($S$4&lt;&gt;"Multi",$R$4="FY"),ROUND(((1+$S$4)^('W2'!$B$20)*'W2'!$D$9+(1+$S$4)^('W2'!$B$20+1)*'W2'!$D$10)/12*'Subcontract 1'!$E16*'Subcontract 1'!$G16,0),ROUND($E16*$G16*(1+$S$4)/12*'W2'!$D$5,0))))))),(IF(AND($S$4="Multi",$R$4="FY"),ROUND(((1+$M16)^('W2'!$B$20+1)*'W2'!$D$9+(1+$M16)^('W2'!$B$20+2)*'W2'!$D$10)/12*'Subcontract 1'!$E16*'Subcontract 1'!$G16,0),(IF(AND($S$4="Multi",$R$4="PY"),ROUND($E16*$G16*(1+M16)/12*'W2'!$D$5,0),(IF(AND($S$4&lt;&gt;"Multi",$R$4="FY"),ROUND(((1+$S$4)^('W2'!$B$20+1)*'W2'!$D$9+(1+$S$4)^('W2'!$B$20+2)*'W2'!$D$10)/12*'Subcontract 1'!$E16*'Subcontract 1'!$G16,0),ROUND($E16*$G16*(1+$S$4)/12*'W2'!$D$5,0))))))))</f>
        <v>0</v>
      </c>
      <c r="P16" s="187">
        <f>IF('W2'!$C$4='W2'!$D$4,(IF(AND($S$4="Multi",$R$4="FY"),ROUND(((1+$M16)^('W2'!$B$20+1)*'W2'!$E$9+(1+$M16)^('W2'!$B$20+2)*'W2'!$E$10)/12*'Subcontract 1'!$E16*'Subcontract 1'!H16,0),(IF(AND($S$4="Multi",$R$4="PY"),ROUND($E16*H16*((1+$M16)^2)/12*'W2'!$E$5,0),(IF(AND($S$4&lt;&gt;"Multi",$R$4="FY"),ROUND(((1+$S$4)^('W2'!$B$20+1)*'W2'!$E$9+(1+$S$4)^('W2'!$B$20+2)*'W2'!$E$10)/12*'Subcontract 1'!$E16*'Subcontract 1'!H16,0),ROUND($E16*H16*((1+$S$4)^2)/12*'W2'!$E$5,0))))))),(IF(AND($S$4="Multi",$R$4="FY"),ROUND(((1+$M16)^('W2'!$B$20+2)*'W2'!$E$9+(1+$M16)^('W2'!$B$20+3)*'W2'!$E$10)/12*'Subcontract 1'!$E16*'Subcontract 1'!H16,0),(IF(AND($S$4="Multi",$R$4="PY"),ROUND($E16*H16*((1+$M16)^2)/12*'W2'!$E$5,0),(IF(AND($S$4&lt;&gt;"Multi",$R$4="FY"),ROUND(((1+$S$4)^('W2'!$B$20+2)*'W2'!$E$9+(1+$S$4)^('W2'!$B$20+3)*'W2'!$E$10)/12*'Subcontract 1'!$E16*'Subcontract 1'!H16,0),ROUND($E16*H16*((1+$S$4)^2)/12*'W2'!$E$5,0))))))))</f>
        <v>0</v>
      </c>
      <c r="Q16" s="187">
        <f>IF('W2'!$C$4='W2'!$D$4,(IF(AND($S$4="Multi",$R$4="FY"),ROUND(((1+$M16)^('W2'!$B$20+2)*'W2'!$F$9+(1+$M16)^('W2'!$B$20+3)*'W2'!$F$10)/12*'Subcontract 1'!$E16*'Subcontract 1'!$I16,0),(IF(AND($S$4="Multi",$R$4="PY"),ROUND($E16*$I16*((1+$M16)^3)/12*'W2'!$F$5,0),(IF(AND($S$4&lt;&gt;"Multi",$R$4="FY"),ROUND(((1+$S$4)^('W2'!$B$20+2)*'W2'!$F$9+(1+$S$4)^('W2'!$B$20+3)*'W2'!$F$10)/12*'Subcontract 1'!$E16*'Subcontract 1'!$I16,0),ROUND($E16*$I16*((1+$S$4)^3)/12*'W2'!$F$5,0))))))),(IF(AND($S$4="Multi",$R$4="FY"),ROUND(((1+$M16)^('W2'!$B$20+3)*'W2'!$F$9+(1+$M16)^('W2'!$B$20+4)*'W2'!$F$10)/12*'Subcontract 1'!$E16*'Subcontract 1'!$I16,0),(IF(AND($S$4="Multi",$R$4="PY"),ROUND($E16*$I16*((1+$M16)^3)/12*'W2'!$F$5,0),(IF(AND($S$4&lt;&gt;"Multi",$R$4="FY"),ROUND(((1+$S$4)^('W2'!$B$20+3)*'W2'!$F$9+(1+$S$4)^('W2'!$B$20+4)*'W2'!$F$10)/12*'Subcontract 1'!$E16*'Subcontract 1'!$I16,0),ROUND($E16*$I16*((1+$S$4)^3)/12*'W2'!$F$5,0))))))))</f>
        <v>0</v>
      </c>
      <c r="R16" s="187">
        <f>IF('W2'!$C$4='W2'!$D$4,(IF(AND($S$4="Multi",$R$4="FY"),ROUND(((1+$M16)^('W2'!$B$20+3)*'W2'!$G$9+(1+$M16)^('W2'!$B$20+4)*'W2'!$G$10)/12*'Subcontract 1'!$E16*'Subcontract 1'!$J16,0),(IF(AND($S$4="Multi",$R$4="PY"),ROUND($E16*$J16*((1+$M16)^4)/12*'W2'!$G$5,0),(IF(AND($S$4&lt;&gt;"Multi",$R$4="FY"),ROUND(((1+$S$4)^('W2'!$B$20+3)*'W2'!$G$9+(1+$S$4)^('W2'!$B$20+4)*'W2'!$G$10)/12*'Subcontract 1'!$E16*'Subcontract 1'!$J16,0),ROUND($E16*$J16*((1+$S$4)^4)/12*'W2'!$G$5,0))))))),(IF(AND($S$4="Multi",$R$4="FY"),ROUND(((1+$M16)^('W2'!$B$20+4)*'W2'!$G$9+(1+$M16)^('W2'!$B$20+5)*'W2'!$G$10)/12*'Subcontract 1'!$E16*'Subcontract 1'!$J16,0),(IF(AND($S$4="Multi",$R$4="PY"),ROUND($E16*$J16*((1+$M16)^4)/12*'W2'!$G$5,0),(IF(AND($S$4&lt;&gt;"Multi",$R$4="FY"),ROUND(((1+$S$4)^('W2'!$B$20+4)*'W2'!$G$9+(1+$S$4)^('W2'!$B$20+5)*'W2'!$G$10)/12*'Subcontract 1'!$E16*'Subcontract 1'!$J16,0),ROUND($E16*$J16*((1+$S$4)^4)/12*'W2'!$G$5,0))))))))</f>
        <v>0</v>
      </c>
      <c r="S16" s="188">
        <f t="shared" si="2"/>
        <v>0</v>
      </c>
      <c r="T16" s="246"/>
      <c r="U16" s="246"/>
      <c r="V16" s="246"/>
      <c r="W16" s="246"/>
      <c r="X16" s="246"/>
      <c r="Y16" s="247"/>
      <c r="Z16" s="247"/>
      <c r="AA16" s="247"/>
      <c r="AB16" s="247"/>
      <c r="AC16" s="24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hidden="1" x14ac:dyDescent="0.2">
      <c r="A17" s="192">
        <v>10</v>
      </c>
      <c r="B17" s="193"/>
      <c r="C17" s="193"/>
      <c r="D17" s="194"/>
      <c r="E17" s="195"/>
      <c r="F17" s="221"/>
      <c r="G17" s="221"/>
      <c r="H17" s="221"/>
      <c r="I17" s="221"/>
      <c r="J17" s="221"/>
      <c r="K17" s="190" t="s">
        <v>176</v>
      </c>
      <c r="L17" s="190">
        <v>12</v>
      </c>
      <c r="M17" s="191">
        <v>0.03</v>
      </c>
      <c r="N17" s="187">
        <f>IF(AND($S$4="Multi",$R$4="FY"),ROUND(((1+$M17)^'W2'!$B$20*'W2'!$C$9+(1+$M17)^('W2'!$B$20+1)*'W2'!$C$10)/12*'Subcontract 1'!$E17*'Subcontract 1'!$F17,0),(IF(AND($S$4="Multi",$R$4="PY"),ROUND(E17*F17/12*'W2'!$C$5,0),(IF(AND($S$4&lt;&gt;"Multi",$R$4="FY"),ROUND(((1+$S$4)^'W2'!$B$20*'W2'!$C$9+(1+$S$4)^('W2'!$B$20+1)*'W2'!$C$10)/12*'Subcontract 1'!$E17*'Subcontract 1'!$F17,0),ROUND($E17*$F17/12*'W2'!$C$5,0))))))</f>
        <v>0</v>
      </c>
      <c r="O17" s="187">
        <f>IF('W2'!$C$4='W2'!$D$4,(IF(AND($S$4="Multi",$R$4="FY"),ROUND(((1+$M17)^('W2'!$B$20)*'W2'!$D$9+(1+$M17)^('W2'!$B$20+1)*'W2'!$D$10)/12*'Subcontract 1'!$E17*'Subcontract 1'!$G17,0),(IF(AND($S$4="Multi",$R$4="PY"),ROUND($E17*$G17*(1+M17)/12*'W2'!$D$5,0),(IF(AND($S$4&lt;&gt;"Multi",$R$4="FY"),ROUND(((1+$S$4)^('W2'!$B$20)*'W2'!$D$9+(1+$S$4)^('W2'!$B$20+1)*'W2'!$D$10)/12*'Subcontract 1'!$E17*'Subcontract 1'!$G17,0),ROUND($E17*$G17*(1+$S$4)/12*'W2'!$D$5,0))))))),(IF(AND($S$4="Multi",$R$4="FY"),ROUND(((1+$M17)^('W2'!$B$20+1)*'W2'!$D$9+(1+$M17)^('W2'!$B$20+2)*'W2'!$D$10)/12*'Subcontract 1'!$E17*'Subcontract 1'!$G17,0),(IF(AND($S$4="Multi",$R$4="PY"),ROUND($E17*$G17*(1+M17)/12*'W2'!$D$5,0),(IF(AND($S$4&lt;&gt;"Multi",$R$4="FY"),ROUND(((1+$S$4)^('W2'!$B$20+1)*'W2'!$D$9+(1+$S$4)^('W2'!$B$20+2)*'W2'!$D$10)/12*'Subcontract 1'!$E17*'Subcontract 1'!$G17,0),ROUND($E17*$G17*(1+$S$4)/12*'W2'!$D$5,0))))))))</f>
        <v>0</v>
      </c>
      <c r="P17" s="187">
        <f>IF('W2'!$C$4='W2'!$D$4,(IF(AND($S$4="Multi",$R$4="FY"),ROUND(((1+$M17)^('W2'!$B$20+1)*'W2'!$E$9+(1+$M17)^('W2'!$B$20+2)*'W2'!$E$10)/12*'Subcontract 1'!$E17*'Subcontract 1'!H17,0),(IF(AND($S$4="Multi",$R$4="PY"),ROUND($E17*H17*((1+$M17)^2)/12*'W2'!$E$5,0),(IF(AND($S$4&lt;&gt;"Multi",$R$4="FY"),ROUND(((1+$S$4)^('W2'!$B$20+1)*'W2'!$E$9+(1+$S$4)^('W2'!$B$20+2)*'W2'!$E$10)/12*'Subcontract 1'!$E17*'Subcontract 1'!H17,0),ROUND($E17*H17*((1+$S$4)^2)/12*'W2'!$E$5,0))))))),(IF(AND($S$4="Multi",$R$4="FY"),ROUND(((1+$M17)^('W2'!$B$20+2)*'W2'!$E$9+(1+$M17)^('W2'!$B$20+3)*'W2'!$E$10)/12*'Subcontract 1'!$E17*'Subcontract 1'!H17,0),(IF(AND($S$4="Multi",$R$4="PY"),ROUND($E17*H17*((1+$M17)^2)/12*'W2'!$E$5,0),(IF(AND($S$4&lt;&gt;"Multi",$R$4="FY"),ROUND(((1+$S$4)^('W2'!$B$20+2)*'W2'!$E$9+(1+$S$4)^('W2'!$B$20+3)*'W2'!$E$10)/12*'Subcontract 1'!$E17*'Subcontract 1'!H17,0),ROUND($E17*H17*((1+$S$4)^2)/12*'W2'!$E$5,0))))))))</f>
        <v>0</v>
      </c>
      <c r="Q17" s="187">
        <f>IF('W2'!$C$4='W2'!$D$4,(IF(AND($S$4="Multi",$R$4="FY"),ROUND(((1+$M17)^('W2'!$B$20+2)*'W2'!$F$9+(1+$M17)^('W2'!$B$20+3)*'W2'!$F$10)/12*'Subcontract 1'!$E17*'Subcontract 1'!$I17,0),(IF(AND($S$4="Multi",$R$4="PY"),ROUND($E17*$I17*((1+$M17)^3)/12*'W2'!$F$5,0),(IF(AND($S$4&lt;&gt;"Multi",$R$4="FY"),ROUND(((1+$S$4)^('W2'!$B$20+2)*'W2'!$F$9+(1+$S$4)^('W2'!$B$20+3)*'W2'!$F$10)/12*'Subcontract 1'!$E17*'Subcontract 1'!$I17,0),ROUND($E17*$I17*((1+$S$4)^3)/12*'W2'!$F$5,0))))))),(IF(AND($S$4="Multi",$R$4="FY"),ROUND(((1+$M17)^('W2'!$B$20+3)*'W2'!$F$9+(1+$M17)^('W2'!$B$20+4)*'W2'!$F$10)/12*'Subcontract 1'!$E17*'Subcontract 1'!$I17,0),(IF(AND($S$4="Multi",$R$4="PY"),ROUND($E17*$I17*((1+$M17)^3)/12*'W2'!$F$5,0),(IF(AND($S$4&lt;&gt;"Multi",$R$4="FY"),ROUND(((1+$S$4)^('W2'!$B$20+3)*'W2'!$F$9+(1+$S$4)^('W2'!$B$20+4)*'W2'!$F$10)/12*'Subcontract 1'!$E17*'Subcontract 1'!$I17,0),ROUND($E17*$I17*((1+$S$4)^3)/12*'W2'!$F$5,0))))))))</f>
        <v>0</v>
      </c>
      <c r="R17" s="187">
        <f>IF('W2'!$C$4='W2'!$D$4,(IF(AND($S$4="Multi",$R$4="FY"),ROUND(((1+$M17)^('W2'!$B$20+3)*'W2'!$G$9+(1+$M17)^('W2'!$B$20+4)*'W2'!$G$10)/12*'Subcontract 1'!$E17*'Subcontract 1'!$J17,0),(IF(AND($S$4="Multi",$R$4="PY"),ROUND($E17*$J17*((1+$M17)^4)/12*'W2'!$G$5,0),(IF(AND($S$4&lt;&gt;"Multi",$R$4="FY"),ROUND(((1+$S$4)^('W2'!$B$20+3)*'W2'!$G$9+(1+$S$4)^('W2'!$B$20+4)*'W2'!$G$10)/12*'Subcontract 1'!$E17*'Subcontract 1'!$J17,0),ROUND($E17*$J17*((1+$S$4)^4)/12*'W2'!$G$5,0))))))),(IF(AND($S$4="Multi",$R$4="FY"),ROUND(((1+$M17)^('W2'!$B$20+4)*'W2'!$G$9+(1+$M17)^('W2'!$B$20+5)*'W2'!$G$10)/12*'Subcontract 1'!$E17*'Subcontract 1'!$J17,0),(IF(AND($S$4="Multi",$R$4="PY"),ROUND($E17*$J17*((1+$M17)^4)/12*'W2'!$G$5,0),(IF(AND($S$4&lt;&gt;"Multi",$R$4="FY"),ROUND(((1+$S$4)^('W2'!$B$20+4)*'W2'!$G$9+(1+$S$4)^('W2'!$B$20+5)*'W2'!$G$10)/12*'Subcontract 1'!$E17*'Subcontract 1'!$J17,0),ROUND($E17*$J17*((1+$S$4)^4)/12*'W2'!$G$5,0))))))))</f>
        <v>0</v>
      </c>
      <c r="S17" s="188">
        <f t="shared" si="2"/>
        <v>0</v>
      </c>
      <c r="T17" s="246"/>
      <c r="U17" s="246"/>
      <c r="V17" s="246"/>
      <c r="W17" s="246"/>
      <c r="X17" s="246"/>
      <c r="Y17" s="247"/>
      <c r="Z17" s="247"/>
      <c r="AA17" s="247"/>
      <c r="AB17" s="247"/>
      <c r="AC17" s="24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hidden="1" x14ac:dyDescent="0.2">
      <c r="A18" s="192">
        <v>11</v>
      </c>
      <c r="B18" s="193"/>
      <c r="C18" s="193"/>
      <c r="D18" s="194"/>
      <c r="E18" s="195"/>
      <c r="F18" s="221"/>
      <c r="G18" s="221"/>
      <c r="H18" s="221"/>
      <c r="I18" s="221"/>
      <c r="J18" s="221"/>
      <c r="K18" s="190" t="s">
        <v>176</v>
      </c>
      <c r="L18" s="190">
        <v>12</v>
      </c>
      <c r="M18" s="191">
        <v>0.03</v>
      </c>
      <c r="N18" s="187">
        <f>IF(AND($S$4="Multi",$R$4="FY"),ROUND(((1+$M18)^'W2'!$B$20*'W2'!$C$9+(1+$M18)^('W2'!$B$20+1)*'W2'!$C$10)/12*'Subcontract 1'!$E18*'Subcontract 1'!$F18,0),(IF(AND($S$4="Multi",$R$4="PY"),ROUND(E18*F18/12*'W2'!$C$5,0),(IF(AND($S$4&lt;&gt;"Multi",$R$4="FY"),ROUND(((1+$S$4)^'W2'!$B$20*'W2'!$C$9+(1+$S$4)^('W2'!$B$20+1)*'W2'!$C$10)/12*'Subcontract 1'!$E18*'Subcontract 1'!$F18,0),ROUND($E18*$F18/12*'W2'!$C$5,0))))))</f>
        <v>0</v>
      </c>
      <c r="O18" s="187">
        <f>IF('W2'!$C$4='W2'!$D$4,(IF(AND($S$4="Multi",$R$4="FY"),ROUND(((1+$M18)^('W2'!$B$20)*'W2'!$D$9+(1+$M18)^('W2'!$B$20+1)*'W2'!$D$10)/12*'Subcontract 1'!$E18*'Subcontract 1'!$G18,0),(IF(AND($S$4="Multi",$R$4="PY"),ROUND($E18*$G18*(1+M18)/12*'W2'!$D$5,0),(IF(AND($S$4&lt;&gt;"Multi",$R$4="FY"),ROUND(((1+$S$4)^('W2'!$B$20)*'W2'!$D$9+(1+$S$4)^('W2'!$B$20+1)*'W2'!$D$10)/12*'Subcontract 1'!$E18*'Subcontract 1'!$G18,0),ROUND($E18*$G18*(1+$S$4)/12*'W2'!$D$5,0))))))),(IF(AND($S$4="Multi",$R$4="FY"),ROUND(((1+$M18)^('W2'!$B$20+1)*'W2'!$D$9+(1+$M18)^('W2'!$B$20+2)*'W2'!$D$10)/12*'Subcontract 1'!$E18*'Subcontract 1'!$G18,0),(IF(AND($S$4="Multi",$R$4="PY"),ROUND($E18*$G18*(1+M18)/12*'W2'!$D$5,0),(IF(AND($S$4&lt;&gt;"Multi",$R$4="FY"),ROUND(((1+$S$4)^('W2'!$B$20+1)*'W2'!$D$9+(1+$S$4)^('W2'!$B$20+2)*'W2'!$D$10)/12*'Subcontract 1'!$E18*'Subcontract 1'!$G18,0),ROUND($E18*$G18*(1+$S$4)/12*'W2'!$D$5,0))))))))</f>
        <v>0</v>
      </c>
      <c r="P18" s="187">
        <f>IF('W2'!$C$4='W2'!$D$4,(IF(AND($S$4="Multi",$R$4="FY"),ROUND(((1+$M18)^('W2'!$B$20+1)*'W2'!$E$9+(1+$M18)^('W2'!$B$20+2)*'W2'!$E$10)/12*'Subcontract 1'!$E18*'Subcontract 1'!H18,0),(IF(AND($S$4="Multi",$R$4="PY"),ROUND($E18*H18*((1+$M18)^2)/12*'W2'!$E$5,0),(IF(AND($S$4&lt;&gt;"Multi",$R$4="FY"),ROUND(((1+$S$4)^('W2'!$B$20+1)*'W2'!$E$9+(1+$S$4)^('W2'!$B$20+2)*'W2'!$E$10)/12*'Subcontract 1'!$E18*'Subcontract 1'!H18,0),ROUND($E18*H18*((1+$S$4)^2)/12*'W2'!$E$5,0))))))),(IF(AND($S$4="Multi",$R$4="FY"),ROUND(((1+$M18)^('W2'!$B$20+2)*'W2'!$E$9+(1+$M18)^('W2'!$B$20+3)*'W2'!$E$10)/12*'Subcontract 1'!$E18*'Subcontract 1'!H18,0),(IF(AND($S$4="Multi",$R$4="PY"),ROUND($E18*H18*((1+$M18)^2)/12*'W2'!$E$5,0),(IF(AND($S$4&lt;&gt;"Multi",$R$4="FY"),ROUND(((1+$S$4)^('W2'!$B$20+2)*'W2'!$E$9+(1+$S$4)^('W2'!$B$20+3)*'W2'!$E$10)/12*'Subcontract 1'!$E18*'Subcontract 1'!H18,0),ROUND($E18*H18*((1+$S$4)^2)/12*'W2'!$E$5,0))))))))</f>
        <v>0</v>
      </c>
      <c r="Q18" s="187">
        <f>IF('W2'!$C$4='W2'!$D$4,(IF(AND($S$4="Multi",$R$4="FY"),ROUND(((1+$M18)^('W2'!$B$20+2)*'W2'!$F$9+(1+$M18)^('W2'!$B$20+3)*'W2'!$F$10)/12*'Subcontract 1'!$E18*'Subcontract 1'!$I18,0),(IF(AND($S$4="Multi",$R$4="PY"),ROUND($E18*$I18*((1+$M18)^3)/12*'W2'!$F$5,0),(IF(AND($S$4&lt;&gt;"Multi",$R$4="FY"),ROUND(((1+$S$4)^('W2'!$B$20+2)*'W2'!$F$9+(1+$S$4)^('W2'!$B$20+3)*'W2'!$F$10)/12*'Subcontract 1'!$E18*'Subcontract 1'!$I18,0),ROUND($E18*$I18*((1+$S$4)^3)/12*'W2'!$F$5,0))))))),(IF(AND($S$4="Multi",$R$4="FY"),ROUND(((1+$M18)^('W2'!$B$20+3)*'W2'!$F$9+(1+$M18)^('W2'!$B$20+4)*'W2'!$F$10)/12*'Subcontract 1'!$E18*'Subcontract 1'!$I18,0),(IF(AND($S$4="Multi",$R$4="PY"),ROUND($E18*$I18*((1+$M18)^3)/12*'W2'!$F$5,0),(IF(AND($S$4&lt;&gt;"Multi",$R$4="FY"),ROUND(((1+$S$4)^('W2'!$B$20+3)*'W2'!$F$9+(1+$S$4)^('W2'!$B$20+4)*'W2'!$F$10)/12*'Subcontract 1'!$E18*'Subcontract 1'!$I18,0),ROUND($E18*$I18*((1+$S$4)^3)/12*'W2'!$F$5,0))))))))</f>
        <v>0</v>
      </c>
      <c r="R18" s="187">
        <f>IF('W2'!$C$4='W2'!$D$4,(IF(AND($S$4="Multi",$R$4="FY"),ROUND(((1+$M18)^('W2'!$B$20+3)*'W2'!$G$9+(1+$M18)^('W2'!$B$20+4)*'W2'!$G$10)/12*'Subcontract 1'!$E18*'Subcontract 1'!$J18,0),(IF(AND($S$4="Multi",$R$4="PY"),ROUND($E18*$J18*((1+$M18)^4)/12*'W2'!$G$5,0),(IF(AND($S$4&lt;&gt;"Multi",$R$4="FY"),ROUND(((1+$S$4)^('W2'!$B$20+3)*'W2'!$G$9+(1+$S$4)^('W2'!$B$20+4)*'W2'!$G$10)/12*'Subcontract 1'!$E18*'Subcontract 1'!$J18,0),ROUND($E18*$J18*((1+$S$4)^4)/12*'W2'!$G$5,0))))))),(IF(AND($S$4="Multi",$R$4="FY"),ROUND(((1+$M18)^('W2'!$B$20+4)*'W2'!$G$9+(1+$M18)^('W2'!$B$20+5)*'W2'!$G$10)/12*'Subcontract 1'!$E18*'Subcontract 1'!$J18,0),(IF(AND($S$4="Multi",$R$4="PY"),ROUND($E18*$J18*((1+$M18)^4)/12*'W2'!$G$5,0),(IF(AND($S$4&lt;&gt;"Multi",$R$4="FY"),ROUND(((1+$S$4)^('W2'!$B$20+4)*'W2'!$G$9+(1+$S$4)^('W2'!$B$20+5)*'W2'!$G$10)/12*'Subcontract 1'!$E18*'Subcontract 1'!$J18,0),ROUND($E18*$J18*((1+$S$4)^4)/12*'W2'!$G$5,0))))))))</f>
        <v>0</v>
      </c>
      <c r="S18" s="188">
        <f t="shared" si="2"/>
        <v>0</v>
      </c>
      <c r="T18" s="246"/>
      <c r="U18" s="246"/>
      <c r="V18" s="246"/>
      <c r="W18" s="246"/>
      <c r="X18" s="246"/>
      <c r="Y18" s="247"/>
      <c r="Z18" s="247"/>
      <c r="AA18" s="247"/>
      <c r="AB18" s="247"/>
      <c r="AC18" s="24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hidden="1" x14ac:dyDescent="0.2">
      <c r="A19" s="192">
        <v>12</v>
      </c>
      <c r="B19" s="193"/>
      <c r="C19" s="193"/>
      <c r="D19" s="194"/>
      <c r="E19" s="195"/>
      <c r="F19" s="221"/>
      <c r="G19" s="221"/>
      <c r="H19" s="221"/>
      <c r="I19" s="221"/>
      <c r="J19" s="221"/>
      <c r="K19" s="190" t="s">
        <v>176</v>
      </c>
      <c r="L19" s="190">
        <v>12</v>
      </c>
      <c r="M19" s="191">
        <v>0.03</v>
      </c>
      <c r="N19" s="187">
        <f>IF(AND($S$4="Multi",$R$4="FY"),ROUND(((1+$M19)^'W2'!$B$20*'W2'!$C$9+(1+$M19)^('W2'!$B$20+1)*'W2'!$C$10)/12*'Subcontract 1'!$E19*'Subcontract 1'!$F19,0),(IF(AND($S$4="Multi",$R$4="PY"),ROUND(E19*F19/12*'W2'!$C$5,0),(IF(AND($S$4&lt;&gt;"Multi",$R$4="FY"),ROUND(((1+$S$4)^'W2'!$B$20*'W2'!$C$9+(1+$S$4)^('W2'!$B$20+1)*'W2'!$C$10)/12*'Subcontract 1'!$E19*'Subcontract 1'!$F19,0),ROUND($E19*$F19/12*'W2'!$C$5,0))))))</f>
        <v>0</v>
      </c>
      <c r="O19" s="187">
        <f>IF('W2'!$C$4='W2'!$D$4,(IF(AND($S$4="Multi",$R$4="FY"),ROUND(((1+$M19)^('W2'!$B$20)*'W2'!$D$9+(1+$M19)^('W2'!$B$20+1)*'W2'!$D$10)/12*'Subcontract 1'!$E19*'Subcontract 1'!$G19,0),(IF(AND($S$4="Multi",$R$4="PY"),ROUND($E19*$G19*(1+M19)/12*'W2'!$D$5,0),(IF(AND($S$4&lt;&gt;"Multi",$R$4="FY"),ROUND(((1+$S$4)^('W2'!$B$20)*'W2'!$D$9+(1+$S$4)^('W2'!$B$20+1)*'W2'!$D$10)/12*'Subcontract 1'!$E19*'Subcontract 1'!$G19,0),ROUND($E19*$G19*(1+$S$4)/12*'W2'!$D$5,0))))))),(IF(AND($S$4="Multi",$R$4="FY"),ROUND(((1+$M19)^('W2'!$B$20+1)*'W2'!$D$9+(1+$M19)^('W2'!$B$20+2)*'W2'!$D$10)/12*'Subcontract 1'!$E19*'Subcontract 1'!$G19,0),(IF(AND($S$4="Multi",$R$4="PY"),ROUND($E19*$G19*(1+M19)/12*'W2'!$D$5,0),(IF(AND($S$4&lt;&gt;"Multi",$R$4="FY"),ROUND(((1+$S$4)^('W2'!$B$20+1)*'W2'!$D$9+(1+$S$4)^('W2'!$B$20+2)*'W2'!$D$10)/12*'Subcontract 1'!$E19*'Subcontract 1'!$G19,0),ROUND($E19*$G19*(1+$S$4)/12*'W2'!$D$5,0))))))))</f>
        <v>0</v>
      </c>
      <c r="P19" s="187">
        <f>IF('W2'!$C$4='W2'!$D$4,(IF(AND($S$4="Multi",$R$4="FY"),ROUND(((1+$M19)^('W2'!$B$20+1)*'W2'!$E$9+(1+$M19)^('W2'!$B$20+2)*'W2'!$E$10)/12*'Subcontract 1'!$E19*'Subcontract 1'!H19,0),(IF(AND($S$4="Multi",$R$4="PY"),ROUND($E19*H19*((1+$M19)^2)/12*'W2'!$E$5,0),(IF(AND($S$4&lt;&gt;"Multi",$R$4="FY"),ROUND(((1+$S$4)^('W2'!$B$20+1)*'W2'!$E$9+(1+$S$4)^('W2'!$B$20+2)*'W2'!$E$10)/12*'Subcontract 1'!$E19*'Subcontract 1'!H19,0),ROUND($E19*H19*((1+$S$4)^2)/12*'W2'!$E$5,0))))))),(IF(AND($S$4="Multi",$R$4="FY"),ROUND(((1+$M19)^('W2'!$B$20+2)*'W2'!$E$9+(1+$M19)^('W2'!$B$20+3)*'W2'!$E$10)/12*'Subcontract 1'!$E19*'Subcontract 1'!H19,0),(IF(AND($S$4="Multi",$R$4="PY"),ROUND($E19*H19*((1+$M19)^2)/12*'W2'!$E$5,0),(IF(AND($S$4&lt;&gt;"Multi",$R$4="FY"),ROUND(((1+$S$4)^('W2'!$B$20+2)*'W2'!$E$9+(1+$S$4)^('W2'!$B$20+3)*'W2'!$E$10)/12*'Subcontract 1'!$E19*'Subcontract 1'!H19,0),ROUND($E19*H19*((1+$S$4)^2)/12*'W2'!$E$5,0))))))))</f>
        <v>0</v>
      </c>
      <c r="Q19" s="187">
        <f>IF('W2'!$C$4='W2'!$D$4,(IF(AND($S$4="Multi",$R$4="FY"),ROUND(((1+$M19)^('W2'!$B$20+2)*'W2'!$F$9+(1+$M19)^('W2'!$B$20+3)*'W2'!$F$10)/12*'Subcontract 1'!$E19*'Subcontract 1'!$I19,0),(IF(AND($S$4="Multi",$R$4="PY"),ROUND($E19*$I19*((1+$M19)^3)/12*'W2'!$F$5,0),(IF(AND($S$4&lt;&gt;"Multi",$R$4="FY"),ROUND(((1+$S$4)^('W2'!$B$20+2)*'W2'!$F$9+(1+$S$4)^('W2'!$B$20+3)*'W2'!$F$10)/12*'Subcontract 1'!$E19*'Subcontract 1'!$I19,0),ROUND($E19*$I19*((1+$S$4)^3)/12*'W2'!$F$5,0))))))),(IF(AND($S$4="Multi",$R$4="FY"),ROUND(((1+$M19)^('W2'!$B$20+3)*'W2'!$F$9+(1+$M19)^('W2'!$B$20+4)*'W2'!$F$10)/12*'Subcontract 1'!$E19*'Subcontract 1'!$I19,0),(IF(AND($S$4="Multi",$R$4="PY"),ROUND($E19*$I19*((1+$M19)^3)/12*'W2'!$F$5,0),(IF(AND($S$4&lt;&gt;"Multi",$R$4="FY"),ROUND(((1+$S$4)^('W2'!$B$20+3)*'W2'!$F$9+(1+$S$4)^('W2'!$B$20+4)*'W2'!$F$10)/12*'Subcontract 1'!$E19*'Subcontract 1'!$I19,0),ROUND($E19*$I19*((1+$S$4)^3)/12*'W2'!$F$5,0))))))))</f>
        <v>0</v>
      </c>
      <c r="R19" s="187">
        <f>IF('W2'!$C$4='W2'!$D$4,(IF(AND($S$4="Multi",$R$4="FY"),ROUND(((1+$M19)^('W2'!$B$20+3)*'W2'!$G$9+(1+$M19)^('W2'!$B$20+4)*'W2'!$G$10)/12*'Subcontract 1'!$E19*'Subcontract 1'!$J19,0),(IF(AND($S$4="Multi",$R$4="PY"),ROUND($E19*$J19*((1+$M19)^4)/12*'W2'!$G$5,0),(IF(AND($S$4&lt;&gt;"Multi",$R$4="FY"),ROUND(((1+$S$4)^('W2'!$B$20+3)*'W2'!$G$9+(1+$S$4)^('W2'!$B$20+4)*'W2'!$G$10)/12*'Subcontract 1'!$E19*'Subcontract 1'!$J19,0),ROUND($E19*$J19*((1+$S$4)^4)/12*'W2'!$G$5,0))))))),(IF(AND($S$4="Multi",$R$4="FY"),ROUND(((1+$M19)^('W2'!$B$20+4)*'W2'!$G$9+(1+$M19)^('W2'!$B$20+5)*'W2'!$G$10)/12*'Subcontract 1'!$E19*'Subcontract 1'!$J19,0),(IF(AND($S$4="Multi",$R$4="PY"),ROUND($E19*$J19*((1+$M19)^4)/12*'W2'!$G$5,0),(IF(AND($S$4&lt;&gt;"Multi",$R$4="FY"),ROUND(((1+$S$4)^('W2'!$B$20+4)*'W2'!$G$9+(1+$S$4)^('W2'!$B$20+5)*'W2'!$G$10)/12*'Subcontract 1'!$E19*'Subcontract 1'!$J19,0),ROUND($E19*$J19*((1+$S$4)^4)/12*'W2'!$G$5,0))))))))</f>
        <v>0</v>
      </c>
      <c r="S19" s="188">
        <f t="shared" si="2"/>
        <v>0</v>
      </c>
      <c r="T19" s="246"/>
      <c r="U19" s="246"/>
      <c r="V19" s="246"/>
      <c r="W19" s="246"/>
      <c r="X19" s="246"/>
      <c r="Y19" s="247"/>
      <c r="Z19" s="247"/>
      <c r="AA19" s="247"/>
      <c r="AB19" s="247"/>
      <c r="AC19" s="24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idden="1" x14ac:dyDescent="0.2">
      <c r="A20" s="192">
        <v>13</v>
      </c>
      <c r="B20" s="193"/>
      <c r="C20" s="193"/>
      <c r="D20" s="194"/>
      <c r="E20" s="195"/>
      <c r="F20" s="221"/>
      <c r="G20" s="221"/>
      <c r="H20" s="221"/>
      <c r="I20" s="221"/>
      <c r="J20" s="221"/>
      <c r="K20" s="190" t="s">
        <v>176</v>
      </c>
      <c r="L20" s="190">
        <v>12</v>
      </c>
      <c r="M20" s="191">
        <v>0.03</v>
      </c>
      <c r="N20" s="187">
        <f>IF(AND($S$4="Multi",$R$4="FY"),ROUND(((1+$M20)^'W2'!$B$20*'W2'!$C$9+(1+$M20)^('W2'!$B$20+1)*'W2'!$C$10)/12*'Subcontract 1'!$E20*'Subcontract 1'!$F20,0),(IF(AND($S$4="Multi",$R$4="PY"),ROUND(E20*F20/12*'W2'!$C$5,0),(IF(AND($S$4&lt;&gt;"Multi",$R$4="FY"),ROUND(((1+$S$4)^'W2'!$B$20*'W2'!$C$9+(1+$S$4)^('W2'!$B$20+1)*'W2'!$C$10)/12*'Subcontract 1'!$E20*'Subcontract 1'!$F20,0),ROUND($E20*$F20/12*'W2'!$C$5,0))))))</f>
        <v>0</v>
      </c>
      <c r="O20" s="187">
        <f>IF('W2'!$C$4='W2'!$D$4,(IF(AND($S$4="Multi",$R$4="FY"),ROUND(((1+$M20)^('W2'!$B$20)*'W2'!$D$9+(1+$M20)^('W2'!$B$20+1)*'W2'!$D$10)/12*'Subcontract 1'!$E20*'Subcontract 1'!$G20,0),(IF(AND($S$4="Multi",$R$4="PY"),ROUND($E20*$G20*(1+M20)/12*'W2'!$D$5,0),(IF(AND($S$4&lt;&gt;"Multi",$R$4="FY"),ROUND(((1+$S$4)^('W2'!$B$20)*'W2'!$D$9+(1+$S$4)^('W2'!$B$20+1)*'W2'!$D$10)/12*'Subcontract 1'!$E20*'Subcontract 1'!$G20,0),ROUND($E20*$G20*(1+$S$4)/12*'W2'!$D$5,0))))))),(IF(AND($S$4="Multi",$R$4="FY"),ROUND(((1+$M20)^('W2'!$B$20+1)*'W2'!$D$9+(1+$M20)^('W2'!$B$20+2)*'W2'!$D$10)/12*'Subcontract 1'!$E20*'Subcontract 1'!$G20,0),(IF(AND($S$4="Multi",$R$4="PY"),ROUND($E20*$G20*(1+M20)/12*'W2'!$D$5,0),(IF(AND($S$4&lt;&gt;"Multi",$R$4="FY"),ROUND(((1+$S$4)^('W2'!$B$20+1)*'W2'!$D$9+(1+$S$4)^('W2'!$B$20+2)*'W2'!$D$10)/12*'Subcontract 1'!$E20*'Subcontract 1'!$G20,0),ROUND($E20*$G20*(1+$S$4)/12*'W2'!$D$5,0))))))))</f>
        <v>0</v>
      </c>
      <c r="P20" s="187">
        <f>IF('W2'!$C$4='W2'!$D$4,(IF(AND($S$4="Multi",$R$4="FY"),ROUND(((1+$M20)^('W2'!$B$20+1)*'W2'!$E$9+(1+$M20)^('W2'!$B$20+2)*'W2'!$E$10)/12*'Subcontract 1'!$E20*'Subcontract 1'!H20,0),(IF(AND($S$4="Multi",$R$4="PY"),ROUND($E20*H20*((1+$M20)^2)/12*'W2'!$E$5,0),(IF(AND($S$4&lt;&gt;"Multi",$R$4="FY"),ROUND(((1+$S$4)^('W2'!$B$20+1)*'W2'!$E$9+(1+$S$4)^('W2'!$B$20+2)*'W2'!$E$10)/12*'Subcontract 1'!$E20*'Subcontract 1'!H20,0),ROUND($E20*H20*((1+$S$4)^2)/12*'W2'!$E$5,0))))))),(IF(AND($S$4="Multi",$R$4="FY"),ROUND(((1+$M20)^('W2'!$B$20+2)*'W2'!$E$9+(1+$M20)^('W2'!$B$20+3)*'W2'!$E$10)/12*'Subcontract 1'!$E20*'Subcontract 1'!H20,0),(IF(AND($S$4="Multi",$R$4="PY"),ROUND($E20*H20*((1+$M20)^2)/12*'W2'!$E$5,0),(IF(AND($S$4&lt;&gt;"Multi",$R$4="FY"),ROUND(((1+$S$4)^('W2'!$B$20+2)*'W2'!$E$9+(1+$S$4)^('W2'!$B$20+3)*'W2'!$E$10)/12*'Subcontract 1'!$E20*'Subcontract 1'!H20,0),ROUND($E20*H20*((1+$S$4)^2)/12*'W2'!$E$5,0))))))))</f>
        <v>0</v>
      </c>
      <c r="Q20" s="187">
        <f>IF('W2'!$C$4='W2'!$D$4,(IF(AND($S$4="Multi",$R$4="FY"),ROUND(((1+$M20)^('W2'!$B$20+2)*'W2'!$F$9+(1+$M20)^('W2'!$B$20+3)*'W2'!$F$10)/12*'Subcontract 1'!$E20*'Subcontract 1'!$I20,0),(IF(AND($S$4="Multi",$R$4="PY"),ROUND($E20*$I20*((1+$M20)^3)/12*'W2'!$F$5,0),(IF(AND($S$4&lt;&gt;"Multi",$R$4="FY"),ROUND(((1+$S$4)^('W2'!$B$20+2)*'W2'!$F$9+(1+$S$4)^('W2'!$B$20+3)*'W2'!$F$10)/12*'Subcontract 1'!$E20*'Subcontract 1'!$I20,0),ROUND($E20*$I20*((1+$S$4)^3)/12*'W2'!$F$5,0))))))),(IF(AND($S$4="Multi",$R$4="FY"),ROUND(((1+$M20)^('W2'!$B$20+3)*'W2'!$F$9+(1+$M20)^('W2'!$B$20+4)*'W2'!$F$10)/12*'Subcontract 1'!$E20*'Subcontract 1'!$I20,0),(IF(AND($S$4="Multi",$R$4="PY"),ROUND($E20*$I20*((1+$M20)^3)/12*'W2'!$F$5,0),(IF(AND($S$4&lt;&gt;"Multi",$R$4="FY"),ROUND(((1+$S$4)^('W2'!$B$20+3)*'W2'!$F$9+(1+$S$4)^('W2'!$B$20+4)*'W2'!$F$10)/12*'Subcontract 1'!$E20*'Subcontract 1'!$I20,0),ROUND($E20*$I20*((1+$S$4)^3)/12*'W2'!$F$5,0))))))))</f>
        <v>0</v>
      </c>
      <c r="R20" s="187">
        <f>IF('W2'!$C$4='W2'!$D$4,(IF(AND($S$4="Multi",$R$4="FY"),ROUND(((1+$M20)^('W2'!$B$20+3)*'W2'!$G$9+(1+$M20)^('W2'!$B$20+4)*'W2'!$G$10)/12*'Subcontract 1'!$E20*'Subcontract 1'!$J20,0),(IF(AND($S$4="Multi",$R$4="PY"),ROUND($E20*$J20*((1+$M20)^4)/12*'W2'!$G$5,0),(IF(AND($S$4&lt;&gt;"Multi",$R$4="FY"),ROUND(((1+$S$4)^('W2'!$B$20+3)*'W2'!$G$9+(1+$S$4)^('W2'!$B$20+4)*'W2'!$G$10)/12*'Subcontract 1'!$E20*'Subcontract 1'!$J20,0),ROUND($E20*$J20*((1+$S$4)^4)/12*'W2'!$G$5,0))))))),(IF(AND($S$4="Multi",$R$4="FY"),ROUND(((1+$M20)^('W2'!$B$20+4)*'W2'!$G$9+(1+$M20)^('W2'!$B$20+5)*'W2'!$G$10)/12*'Subcontract 1'!$E20*'Subcontract 1'!$J20,0),(IF(AND($S$4="Multi",$R$4="PY"),ROUND($E20*$J20*((1+$M20)^4)/12*'W2'!$G$5,0),(IF(AND($S$4&lt;&gt;"Multi",$R$4="FY"),ROUND(((1+$S$4)^('W2'!$B$20+4)*'W2'!$G$9+(1+$S$4)^('W2'!$B$20+5)*'W2'!$G$10)/12*'Subcontract 1'!$E20*'Subcontract 1'!$J20,0),ROUND($E20*$J20*((1+$S$4)^4)/12*'W2'!$G$5,0))))))))</f>
        <v>0</v>
      </c>
      <c r="S20" s="188">
        <f t="shared" si="2"/>
        <v>0</v>
      </c>
      <c r="T20" s="246"/>
      <c r="U20" s="246"/>
      <c r="V20" s="246"/>
      <c r="W20" s="246"/>
      <c r="X20" s="246"/>
      <c r="Y20" s="247"/>
      <c r="Z20" s="247"/>
      <c r="AA20" s="247"/>
      <c r="AB20" s="247"/>
      <c r="AC20" s="24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idden="1" x14ac:dyDescent="0.2">
      <c r="A21" s="192">
        <v>14</v>
      </c>
      <c r="B21" s="193"/>
      <c r="C21" s="193"/>
      <c r="D21" s="194"/>
      <c r="E21" s="195"/>
      <c r="F21" s="221"/>
      <c r="G21" s="221"/>
      <c r="H21" s="221"/>
      <c r="I21" s="221"/>
      <c r="J21" s="221"/>
      <c r="K21" s="190" t="s">
        <v>176</v>
      </c>
      <c r="L21" s="190">
        <v>12</v>
      </c>
      <c r="M21" s="191">
        <v>0.03</v>
      </c>
      <c r="N21" s="187">
        <f>IF(AND($S$4="Multi",$R$4="FY"),ROUND(((1+$M21)^'W2'!$B$20*'W2'!$C$9+(1+$M21)^('W2'!$B$20+1)*'W2'!$C$10)/12*'Subcontract 1'!$E21*'Subcontract 1'!$F21,0),(IF(AND($S$4="Multi",$R$4="PY"),ROUND(E21*F21/12*'W2'!$C$5,0),(IF(AND($S$4&lt;&gt;"Multi",$R$4="FY"),ROUND(((1+$S$4)^'W2'!$B$20*'W2'!$C$9+(1+$S$4)^('W2'!$B$20+1)*'W2'!$C$10)/12*'Subcontract 1'!$E21*'Subcontract 1'!$F21,0),ROUND($E21*$F21/12*'W2'!$C$5,0))))))</f>
        <v>0</v>
      </c>
      <c r="O21" s="187">
        <f>IF('W2'!$C$4='W2'!$D$4,(IF(AND($S$4="Multi",$R$4="FY"),ROUND(((1+$M21)^('W2'!$B$20)*'W2'!$D$9+(1+$M21)^('W2'!$B$20+1)*'W2'!$D$10)/12*'Subcontract 1'!$E21*'Subcontract 1'!$G21,0),(IF(AND($S$4="Multi",$R$4="PY"),ROUND($E21*$G21*(1+M21)/12*'W2'!$D$5,0),(IF(AND($S$4&lt;&gt;"Multi",$R$4="FY"),ROUND(((1+$S$4)^('W2'!$B$20)*'W2'!$D$9+(1+$S$4)^('W2'!$B$20+1)*'W2'!$D$10)/12*'Subcontract 1'!$E21*'Subcontract 1'!$G21,0),ROUND($E21*$G21*(1+$S$4)/12*'W2'!$D$5,0))))))),(IF(AND($S$4="Multi",$R$4="FY"),ROUND(((1+$M21)^('W2'!$B$20+1)*'W2'!$D$9+(1+$M21)^('W2'!$B$20+2)*'W2'!$D$10)/12*'Subcontract 1'!$E21*'Subcontract 1'!$G21,0),(IF(AND($S$4="Multi",$R$4="PY"),ROUND($E21*$G21*(1+M21)/12*'W2'!$D$5,0),(IF(AND($S$4&lt;&gt;"Multi",$R$4="FY"),ROUND(((1+$S$4)^('W2'!$B$20+1)*'W2'!$D$9+(1+$S$4)^('W2'!$B$20+2)*'W2'!$D$10)/12*'Subcontract 1'!$E21*'Subcontract 1'!$G21,0),ROUND($E21*$G21*(1+$S$4)/12*'W2'!$D$5,0))))))))</f>
        <v>0</v>
      </c>
      <c r="P21" s="187">
        <f>IF('W2'!$C$4='W2'!$D$4,(IF(AND($S$4="Multi",$R$4="FY"),ROUND(((1+$M21)^('W2'!$B$20+1)*'W2'!$E$9+(1+$M21)^('W2'!$B$20+2)*'W2'!$E$10)/12*'Subcontract 1'!$E21*'Subcontract 1'!H21,0),(IF(AND($S$4="Multi",$R$4="PY"),ROUND($E21*H21*((1+$M21)^2)/12*'W2'!$E$5,0),(IF(AND($S$4&lt;&gt;"Multi",$R$4="FY"),ROUND(((1+$S$4)^('W2'!$B$20+1)*'W2'!$E$9+(1+$S$4)^('W2'!$B$20+2)*'W2'!$E$10)/12*'Subcontract 1'!$E21*'Subcontract 1'!H21,0),ROUND($E21*H21*((1+$S$4)^2)/12*'W2'!$E$5,0))))))),(IF(AND($S$4="Multi",$R$4="FY"),ROUND(((1+$M21)^('W2'!$B$20+2)*'W2'!$E$9+(1+$M21)^('W2'!$B$20+3)*'W2'!$E$10)/12*'Subcontract 1'!$E21*'Subcontract 1'!H21,0),(IF(AND($S$4="Multi",$R$4="PY"),ROUND($E21*H21*((1+$M21)^2)/12*'W2'!$E$5,0),(IF(AND($S$4&lt;&gt;"Multi",$R$4="FY"),ROUND(((1+$S$4)^('W2'!$B$20+2)*'W2'!$E$9+(1+$S$4)^('W2'!$B$20+3)*'W2'!$E$10)/12*'Subcontract 1'!$E21*'Subcontract 1'!H21,0),ROUND($E21*H21*((1+$S$4)^2)/12*'W2'!$E$5,0))))))))</f>
        <v>0</v>
      </c>
      <c r="Q21" s="187">
        <f>IF('W2'!$C$4='W2'!$D$4,(IF(AND($S$4="Multi",$R$4="FY"),ROUND(((1+$M21)^('W2'!$B$20+2)*'W2'!$F$9+(1+$M21)^('W2'!$B$20+3)*'W2'!$F$10)/12*'Subcontract 1'!$E21*'Subcontract 1'!$I21,0),(IF(AND($S$4="Multi",$R$4="PY"),ROUND($E21*$I21*((1+$M21)^3)/12*'W2'!$F$5,0),(IF(AND($S$4&lt;&gt;"Multi",$R$4="FY"),ROUND(((1+$S$4)^('W2'!$B$20+2)*'W2'!$F$9+(1+$S$4)^('W2'!$B$20+3)*'W2'!$F$10)/12*'Subcontract 1'!$E21*'Subcontract 1'!$I21,0),ROUND($E21*$I21*((1+$S$4)^3)/12*'W2'!$F$5,0))))))),(IF(AND($S$4="Multi",$R$4="FY"),ROUND(((1+$M21)^('W2'!$B$20+3)*'W2'!$F$9+(1+$M21)^('W2'!$B$20+4)*'W2'!$F$10)/12*'Subcontract 1'!$E21*'Subcontract 1'!$I21,0),(IF(AND($S$4="Multi",$R$4="PY"),ROUND($E21*$I21*((1+$M21)^3)/12*'W2'!$F$5,0),(IF(AND($S$4&lt;&gt;"Multi",$R$4="FY"),ROUND(((1+$S$4)^('W2'!$B$20+3)*'W2'!$F$9+(1+$S$4)^('W2'!$B$20+4)*'W2'!$F$10)/12*'Subcontract 1'!$E21*'Subcontract 1'!$I21,0),ROUND($E21*$I21*((1+$S$4)^3)/12*'W2'!$F$5,0))))))))</f>
        <v>0</v>
      </c>
      <c r="R21" s="187">
        <f>IF('W2'!$C$4='W2'!$D$4,(IF(AND($S$4="Multi",$R$4="FY"),ROUND(((1+$M21)^('W2'!$B$20+3)*'W2'!$G$9+(1+$M21)^('W2'!$B$20+4)*'W2'!$G$10)/12*'Subcontract 1'!$E21*'Subcontract 1'!$J21,0),(IF(AND($S$4="Multi",$R$4="PY"),ROUND($E21*$J21*((1+$M21)^4)/12*'W2'!$G$5,0),(IF(AND($S$4&lt;&gt;"Multi",$R$4="FY"),ROUND(((1+$S$4)^('W2'!$B$20+3)*'W2'!$G$9+(1+$S$4)^('W2'!$B$20+4)*'W2'!$G$10)/12*'Subcontract 1'!$E21*'Subcontract 1'!$J21,0),ROUND($E21*$J21*((1+$S$4)^4)/12*'W2'!$G$5,0))))))),(IF(AND($S$4="Multi",$R$4="FY"),ROUND(((1+$M21)^('W2'!$B$20+4)*'W2'!$G$9+(1+$M21)^('W2'!$B$20+5)*'W2'!$G$10)/12*'Subcontract 1'!$E21*'Subcontract 1'!$J21,0),(IF(AND($S$4="Multi",$R$4="PY"),ROUND($E21*$J21*((1+$M21)^4)/12*'W2'!$G$5,0),(IF(AND($S$4&lt;&gt;"Multi",$R$4="FY"),ROUND(((1+$S$4)^('W2'!$B$20+4)*'W2'!$G$9+(1+$S$4)^('W2'!$B$20+5)*'W2'!$G$10)/12*'Subcontract 1'!$E21*'Subcontract 1'!$J21,0),ROUND($E21*$J21*((1+$S$4)^4)/12*'W2'!$G$5,0))))))))</f>
        <v>0</v>
      </c>
      <c r="S21" s="188">
        <f t="shared" si="2"/>
        <v>0</v>
      </c>
      <c r="T21" s="246"/>
      <c r="U21" s="246"/>
      <c r="V21" s="246"/>
      <c r="W21" s="246"/>
      <c r="X21" s="246"/>
      <c r="Y21" s="247"/>
      <c r="Z21" s="247"/>
      <c r="AA21" s="247"/>
      <c r="AB21" s="247"/>
      <c r="AC21" s="24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idden="1" x14ac:dyDescent="0.2">
      <c r="A22" s="192">
        <v>15</v>
      </c>
      <c r="B22" s="193"/>
      <c r="C22" s="193"/>
      <c r="D22" s="194"/>
      <c r="E22" s="195"/>
      <c r="F22" s="221"/>
      <c r="G22" s="221"/>
      <c r="H22" s="221"/>
      <c r="I22" s="221"/>
      <c r="J22" s="221"/>
      <c r="K22" s="190" t="s">
        <v>176</v>
      </c>
      <c r="L22" s="190">
        <v>12</v>
      </c>
      <c r="M22" s="191">
        <v>0.03</v>
      </c>
      <c r="N22" s="187">
        <f>IF(AND($S$4="Multi",$R$4="FY"),ROUND(((1+$M22)^'W2'!$B$20*'W2'!$C$9+(1+$M22)^('W2'!$B$20+1)*'W2'!$C$10)/12*'Subcontract 1'!$E22*'Subcontract 1'!$F22,0),(IF(AND($S$4="Multi",$R$4="PY"),ROUND(E22*F22/12*'W2'!$C$5,0),(IF(AND($S$4&lt;&gt;"Multi",$R$4="FY"),ROUND(((1+$S$4)^'W2'!$B$20*'W2'!$C$9+(1+$S$4)^('W2'!$B$20+1)*'W2'!$C$10)/12*'Subcontract 1'!$E22*'Subcontract 1'!$F22,0),ROUND($E22*$F22/12*'W2'!$C$5,0))))))</f>
        <v>0</v>
      </c>
      <c r="O22" s="187">
        <f>IF('W2'!$C$4='W2'!$D$4,(IF(AND($S$4="Multi",$R$4="FY"),ROUND(((1+$M22)^('W2'!$B$20)*'W2'!$D$9+(1+$M22)^('W2'!$B$20+1)*'W2'!$D$10)/12*'Subcontract 1'!$E22*'Subcontract 1'!$G22,0),(IF(AND($S$4="Multi",$R$4="PY"),ROUND($E22*$G22*(1+M22)/12*'W2'!$D$5,0),(IF(AND($S$4&lt;&gt;"Multi",$R$4="FY"),ROUND(((1+$S$4)^('W2'!$B$20)*'W2'!$D$9+(1+$S$4)^('W2'!$B$20+1)*'W2'!$D$10)/12*'Subcontract 1'!$E22*'Subcontract 1'!$G22,0),ROUND($E22*$G22*(1+$S$4)/12*'W2'!$D$5,0))))))),(IF(AND($S$4="Multi",$R$4="FY"),ROUND(((1+$M22)^('W2'!$B$20+1)*'W2'!$D$9+(1+$M22)^('W2'!$B$20+2)*'W2'!$D$10)/12*'Subcontract 1'!$E22*'Subcontract 1'!$G22,0),(IF(AND($S$4="Multi",$R$4="PY"),ROUND($E22*$G22*(1+M22)/12*'W2'!$D$5,0),(IF(AND($S$4&lt;&gt;"Multi",$R$4="FY"),ROUND(((1+$S$4)^('W2'!$B$20+1)*'W2'!$D$9+(1+$S$4)^('W2'!$B$20+2)*'W2'!$D$10)/12*'Subcontract 1'!$E22*'Subcontract 1'!$G22,0),ROUND($E22*$G22*(1+$S$4)/12*'W2'!$D$5,0))))))))</f>
        <v>0</v>
      </c>
      <c r="P22" s="187">
        <f>IF('W2'!$C$4='W2'!$D$4,(IF(AND($S$4="Multi",$R$4="FY"),ROUND(((1+$M22)^('W2'!$B$20+1)*'W2'!$E$9+(1+$M22)^('W2'!$B$20+2)*'W2'!$E$10)/12*'Subcontract 1'!$E22*'Subcontract 1'!H22,0),(IF(AND($S$4="Multi",$R$4="PY"),ROUND($E22*H22*((1+$M22)^2)/12*'W2'!$E$5,0),(IF(AND($S$4&lt;&gt;"Multi",$R$4="FY"),ROUND(((1+$S$4)^('W2'!$B$20+1)*'W2'!$E$9+(1+$S$4)^('W2'!$B$20+2)*'W2'!$E$10)/12*'Subcontract 1'!$E22*'Subcontract 1'!H22,0),ROUND($E22*H22*((1+$S$4)^2)/12*'W2'!$E$5,0))))))),(IF(AND($S$4="Multi",$R$4="FY"),ROUND(((1+$M22)^('W2'!$B$20+2)*'W2'!$E$9+(1+$M22)^('W2'!$B$20+3)*'W2'!$E$10)/12*'Subcontract 1'!$E22*'Subcontract 1'!H22,0),(IF(AND($S$4="Multi",$R$4="PY"),ROUND($E22*H22*((1+$M22)^2)/12*'W2'!$E$5,0),(IF(AND($S$4&lt;&gt;"Multi",$R$4="FY"),ROUND(((1+$S$4)^('W2'!$B$20+2)*'W2'!$E$9+(1+$S$4)^('W2'!$B$20+3)*'W2'!$E$10)/12*'Subcontract 1'!$E22*'Subcontract 1'!H22,0),ROUND($E22*H22*((1+$S$4)^2)/12*'W2'!$E$5,0))))))))</f>
        <v>0</v>
      </c>
      <c r="Q22" s="187">
        <f>IF('W2'!$C$4='W2'!$D$4,(IF(AND($S$4="Multi",$R$4="FY"),ROUND(((1+$M22)^('W2'!$B$20+2)*'W2'!$F$9+(1+$M22)^('W2'!$B$20+3)*'W2'!$F$10)/12*'Subcontract 1'!$E22*'Subcontract 1'!$I22,0),(IF(AND($S$4="Multi",$R$4="PY"),ROUND($E22*$I22*((1+$M22)^3)/12*'W2'!$F$5,0),(IF(AND($S$4&lt;&gt;"Multi",$R$4="FY"),ROUND(((1+$S$4)^('W2'!$B$20+2)*'W2'!$F$9+(1+$S$4)^('W2'!$B$20+3)*'W2'!$F$10)/12*'Subcontract 1'!$E22*'Subcontract 1'!$I22,0),ROUND($E22*$I22*((1+$S$4)^3)/12*'W2'!$F$5,0))))))),(IF(AND($S$4="Multi",$R$4="FY"),ROUND(((1+$M22)^('W2'!$B$20+3)*'W2'!$F$9+(1+$M22)^('W2'!$B$20+4)*'W2'!$F$10)/12*'Subcontract 1'!$E22*'Subcontract 1'!$I22,0),(IF(AND($S$4="Multi",$R$4="PY"),ROUND($E22*$I22*((1+$M22)^3)/12*'W2'!$F$5,0),(IF(AND($S$4&lt;&gt;"Multi",$R$4="FY"),ROUND(((1+$S$4)^('W2'!$B$20+3)*'W2'!$F$9+(1+$S$4)^('W2'!$B$20+4)*'W2'!$F$10)/12*'Subcontract 1'!$E22*'Subcontract 1'!$I22,0),ROUND($E22*$I22*((1+$S$4)^3)/12*'W2'!$F$5,0))))))))</f>
        <v>0</v>
      </c>
      <c r="R22" s="187">
        <f>IF('W2'!$C$4='W2'!$D$4,(IF(AND($S$4="Multi",$R$4="FY"),ROUND(((1+$M22)^('W2'!$B$20+3)*'W2'!$G$9+(1+$M22)^('W2'!$B$20+4)*'W2'!$G$10)/12*'Subcontract 1'!$E22*'Subcontract 1'!$J22,0),(IF(AND($S$4="Multi",$R$4="PY"),ROUND($E22*$J22*((1+$M22)^4)/12*'W2'!$G$5,0),(IF(AND($S$4&lt;&gt;"Multi",$R$4="FY"),ROUND(((1+$S$4)^('W2'!$B$20+3)*'W2'!$G$9+(1+$S$4)^('W2'!$B$20+4)*'W2'!$G$10)/12*'Subcontract 1'!$E22*'Subcontract 1'!$J22,0),ROUND($E22*$J22*((1+$S$4)^4)/12*'W2'!$G$5,0))))))),(IF(AND($S$4="Multi",$R$4="FY"),ROUND(((1+$M22)^('W2'!$B$20+4)*'W2'!$G$9+(1+$M22)^('W2'!$B$20+5)*'W2'!$G$10)/12*'Subcontract 1'!$E22*'Subcontract 1'!$J22,0),(IF(AND($S$4="Multi",$R$4="PY"),ROUND($E22*$J22*((1+$M22)^4)/12*'W2'!$G$5,0),(IF(AND($S$4&lt;&gt;"Multi",$R$4="FY"),ROUND(((1+$S$4)^('W2'!$B$20+4)*'W2'!$G$9+(1+$S$4)^('W2'!$B$20+5)*'W2'!$G$10)/12*'Subcontract 1'!$E22*'Subcontract 1'!$J22,0),ROUND($E22*$J22*((1+$S$4)^4)/12*'W2'!$G$5,0))))))))</f>
        <v>0</v>
      </c>
      <c r="S22" s="188">
        <f t="shared" si="2"/>
        <v>0</v>
      </c>
      <c r="T22" s="246"/>
      <c r="U22" s="246"/>
      <c r="V22" s="246"/>
      <c r="W22" s="246"/>
      <c r="X22" s="246"/>
      <c r="Y22" s="247"/>
      <c r="Z22" s="247"/>
      <c r="AA22" s="247"/>
      <c r="AB22" s="247"/>
      <c r="AC22" s="24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idden="1" x14ac:dyDescent="0.2">
      <c r="A23" s="192">
        <v>16</v>
      </c>
      <c r="B23" s="193"/>
      <c r="C23" s="193"/>
      <c r="D23" s="194"/>
      <c r="E23" s="195"/>
      <c r="F23" s="221"/>
      <c r="G23" s="221"/>
      <c r="H23" s="221"/>
      <c r="I23" s="221"/>
      <c r="J23" s="221"/>
      <c r="K23" s="190" t="s">
        <v>176</v>
      </c>
      <c r="L23" s="190">
        <v>12</v>
      </c>
      <c r="M23" s="191">
        <v>0.03</v>
      </c>
      <c r="N23" s="187">
        <f>IF(AND($S$4="Multi",$R$4="FY"),ROUND(((1+$M23)^'W2'!$B$20*'W2'!$C$9+(1+$M23)^('W2'!$B$20+1)*'W2'!$C$10)/12*'Subcontract 1'!$E23*'Subcontract 1'!$F23,0),(IF(AND($S$4="Multi",$R$4="PY"),ROUND(E23*F23/12*'W2'!$C$5,0),(IF(AND($S$4&lt;&gt;"Multi",$R$4="FY"),ROUND(((1+$S$4)^'W2'!$B$20*'W2'!$C$9+(1+$S$4)^('W2'!$B$20+1)*'W2'!$C$10)/12*'Subcontract 1'!$E23*'Subcontract 1'!$F23,0),ROUND($E23*$F23/12*'W2'!$C$5,0))))))</f>
        <v>0</v>
      </c>
      <c r="O23" s="187">
        <f>IF('W2'!$C$4='W2'!$D$4,(IF(AND($S$4="Multi",$R$4="FY"),ROUND(((1+$M23)^('W2'!$B$20)*'W2'!$D$9+(1+$M23)^('W2'!$B$20+1)*'W2'!$D$10)/12*'Subcontract 1'!$E23*'Subcontract 1'!$G23,0),(IF(AND($S$4="Multi",$R$4="PY"),ROUND($E23*$G23*(1+M23)/12*'W2'!$D$5,0),(IF(AND($S$4&lt;&gt;"Multi",$R$4="FY"),ROUND(((1+$S$4)^('W2'!$B$20)*'W2'!$D$9+(1+$S$4)^('W2'!$B$20+1)*'W2'!$D$10)/12*'Subcontract 1'!$E23*'Subcontract 1'!$G23,0),ROUND($E23*$G23*(1+$S$4)/12*'W2'!$D$5,0))))))),(IF(AND($S$4="Multi",$R$4="FY"),ROUND(((1+$M23)^('W2'!$B$20+1)*'W2'!$D$9+(1+$M23)^('W2'!$B$20+2)*'W2'!$D$10)/12*'Subcontract 1'!$E23*'Subcontract 1'!$G23,0),(IF(AND($S$4="Multi",$R$4="PY"),ROUND($E23*$G23*(1+M23)/12*'W2'!$D$5,0),(IF(AND($S$4&lt;&gt;"Multi",$R$4="FY"),ROUND(((1+$S$4)^('W2'!$B$20+1)*'W2'!$D$9+(1+$S$4)^('W2'!$B$20+2)*'W2'!$D$10)/12*'Subcontract 1'!$E23*'Subcontract 1'!$G23,0),ROUND($E23*$G23*(1+$S$4)/12*'W2'!$D$5,0))))))))</f>
        <v>0</v>
      </c>
      <c r="P23" s="187">
        <f>IF('W2'!$C$4='W2'!$D$4,(IF(AND($S$4="Multi",$R$4="FY"),ROUND(((1+$M23)^('W2'!$B$20+1)*'W2'!$E$9+(1+$M23)^('W2'!$B$20+2)*'W2'!$E$10)/12*'Subcontract 1'!$E23*'Subcontract 1'!H23,0),(IF(AND($S$4="Multi",$R$4="PY"),ROUND($E23*H23*((1+$M23)^2)/12*'W2'!$E$5,0),(IF(AND($S$4&lt;&gt;"Multi",$R$4="FY"),ROUND(((1+$S$4)^('W2'!$B$20+1)*'W2'!$E$9+(1+$S$4)^('W2'!$B$20+2)*'W2'!$E$10)/12*'Subcontract 1'!$E23*'Subcontract 1'!H23,0),ROUND($E23*H23*((1+$S$4)^2)/12*'W2'!$E$5,0))))))),(IF(AND($S$4="Multi",$R$4="FY"),ROUND(((1+$M23)^('W2'!$B$20+2)*'W2'!$E$9+(1+$M23)^('W2'!$B$20+3)*'W2'!$E$10)/12*'Subcontract 1'!$E23*'Subcontract 1'!H23,0),(IF(AND($S$4="Multi",$R$4="PY"),ROUND($E23*H23*((1+$M23)^2)/12*'W2'!$E$5,0),(IF(AND($S$4&lt;&gt;"Multi",$R$4="FY"),ROUND(((1+$S$4)^('W2'!$B$20+2)*'W2'!$E$9+(1+$S$4)^('W2'!$B$20+3)*'W2'!$E$10)/12*'Subcontract 1'!$E23*'Subcontract 1'!H23,0),ROUND($E23*H23*((1+$S$4)^2)/12*'W2'!$E$5,0))))))))</f>
        <v>0</v>
      </c>
      <c r="Q23" s="187">
        <f>IF('W2'!$C$4='W2'!$D$4,(IF(AND($S$4="Multi",$R$4="FY"),ROUND(((1+$M23)^('W2'!$B$20+2)*'W2'!$F$9+(1+$M23)^('W2'!$B$20+3)*'W2'!$F$10)/12*'Subcontract 1'!$E23*'Subcontract 1'!$I23,0),(IF(AND($S$4="Multi",$R$4="PY"),ROUND($E23*$I23*((1+$M23)^3)/12*'W2'!$F$5,0),(IF(AND($S$4&lt;&gt;"Multi",$R$4="FY"),ROUND(((1+$S$4)^('W2'!$B$20+2)*'W2'!$F$9+(1+$S$4)^('W2'!$B$20+3)*'W2'!$F$10)/12*'Subcontract 1'!$E23*'Subcontract 1'!$I23,0),ROUND($E23*$I23*((1+$S$4)^3)/12*'W2'!$F$5,0))))))),(IF(AND($S$4="Multi",$R$4="FY"),ROUND(((1+$M23)^('W2'!$B$20+3)*'W2'!$F$9+(1+$M23)^('W2'!$B$20+4)*'W2'!$F$10)/12*'Subcontract 1'!$E23*'Subcontract 1'!$I23,0),(IF(AND($S$4="Multi",$R$4="PY"),ROUND($E23*$I23*((1+$M23)^3)/12*'W2'!$F$5,0),(IF(AND($S$4&lt;&gt;"Multi",$R$4="FY"),ROUND(((1+$S$4)^('W2'!$B$20+3)*'W2'!$F$9+(1+$S$4)^('W2'!$B$20+4)*'W2'!$F$10)/12*'Subcontract 1'!$E23*'Subcontract 1'!$I23,0),ROUND($E23*$I23*((1+$S$4)^3)/12*'W2'!$F$5,0))))))))</f>
        <v>0</v>
      </c>
      <c r="R23" s="187">
        <f>IF('W2'!$C$4='W2'!$D$4,(IF(AND($S$4="Multi",$R$4="FY"),ROUND(((1+$M23)^('W2'!$B$20+3)*'W2'!$G$9+(1+$M23)^('W2'!$B$20+4)*'W2'!$G$10)/12*'Subcontract 1'!$E23*'Subcontract 1'!$J23,0),(IF(AND($S$4="Multi",$R$4="PY"),ROUND($E23*$J23*((1+$M23)^4)/12*'W2'!$G$5,0),(IF(AND($S$4&lt;&gt;"Multi",$R$4="FY"),ROUND(((1+$S$4)^('W2'!$B$20+3)*'W2'!$G$9+(1+$S$4)^('W2'!$B$20+4)*'W2'!$G$10)/12*'Subcontract 1'!$E23*'Subcontract 1'!$J23,0),ROUND($E23*$J23*((1+$S$4)^4)/12*'W2'!$G$5,0))))))),(IF(AND($S$4="Multi",$R$4="FY"),ROUND(((1+$M23)^('W2'!$B$20+4)*'W2'!$G$9+(1+$M23)^('W2'!$B$20+5)*'W2'!$G$10)/12*'Subcontract 1'!$E23*'Subcontract 1'!$J23,0),(IF(AND($S$4="Multi",$R$4="PY"),ROUND($E23*$J23*((1+$M23)^4)/12*'W2'!$G$5,0),(IF(AND($S$4&lt;&gt;"Multi",$R$4="FY"),ROUND(((1+$S$4)^('W2'!$B$20+4)*'W2'!$G$9+(1+$S$4)^('W2'!$B$20+5)*'W2'!$G$10)/12*'Subcontract 1'!$E23*'Subcontract 1'!$J23,0),ROUND($E23*$J23*((1+$S$4)^4)/12*'W2'!$G$5,0))))))))</f>
        <v>0</v>
      </c>
      <c r="S23" s="188">
        <f t="shared" si="2"/>
        <v>0</v>
      </c>
      <c r="T23" s="246"/>
      <c r="U23" s="246"/>
      <c r="V23" s="246"/>
      <c r="W23" s="246"/>
      <c r="X23" s="246"/>
      <c r="Y23" s="247"/>
      <c r="Z23" s="247"/>
      <c r="AA23" s="247"/>
      <c r="AB23" s="247"/>
      <c r="AC23" s="24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idden="1" x14ac:dyDescent="0.2">
      <c r="A24" s="192">
        <v>17</v>
      </c>
      <c r="B24" s="193"/>
      <c r="C24" s="193"/>
      <c r="D24" s="194"/>
      <c r="E24" s="195"/>
      <c r="F24" s="221"/>
      <c r="G24" s="221"/>
      <c r="H24" s="221"/>
      <c r="I24" s="221"/>
      <c r="J24" s="221"/>
      <c r="K24" s="190" t="s">
        <v>176</v>
      </c>
      <c r="L24" s="190">
        <v>12</v>
      </c>
      <c r="M24" s="191">
        <v>0.03</v>
      </c>
      <c r="N24" s="187">
        <f>IF(AND($S$4="Multi",$R$4="FY"),ROUND(((1+$M24)^'W2'!$B$20*'W2'!$C$9+(1+$M24)^('W2'!$B$20+1)*'W2'!$C$10)/12*'Subcontract 1'!$E24*'Subcontract 1'!$F24,0),(IF(AND($S$4="Multi",$R$4="PY"),ROUND(E24*F24/12*'W2'!$C$5,0),(IF(AND($S$4&lt;&gt;"Multi",$R$4="FY"),ROUND(((1+$S$4)^'W2'!$B$20*'W2'!$C$9+(1+$S$4)^('W2'!$B$20+1)*'W2'!$C$10)/12*'Subcontract 1'!$E24*'Subcontract 1'!$F24,0),ROUND($E24*$F24/12*'W2'!$C$5,0))))))</f>
        <v>0</v>
      </c>
      <c r="O24" s="187">
        <f>IF('W2'!$C$4='W2'!$D$4,(IF(AND($S$4="Multi",$R$4="FY"),ROUND(((1+$M24)^('W2'!$B$20)*'W2'!$D$9+(1+$M24)^('W2'!$B$20+1)*'W2'!$D$10)/12*'Subcontract 1'!$E24*'Subcontract 1'!$G24,0),(IF(AND($S$4="Multi",$R$4="PY"),ROUND($E24*$G24*(1+M24)/12*'W2'!$D$5,0),(IF(AND($S$4&lt;&gt;"Multi",$R$4="FY"),ROUND(((1+$S$4)^('W2'!$B$20)*'W2'!$D$9+(1+$S$4)^('W2'!$B$20+1)*'W2'!$D$10)/12*'Subcontract 1'!$E24*'Subcontract 1'!$G24,0),ROUND($E24*$G24*(1+$S$4)/12*'W2'!$D$5,0))))))),(IF(AND($S$4="Multi",$R$4="FY"),ROUND(((1+$M24)^('W2'!$B$20+1)*'W2'!$D$9+(1+$M24)^('W2'!$B$20+2)*'W2'!$D$10)/12*'Subcontract 1'!$E24*'Subcontract 1'!$G24,0),(IF(AND($S$4="Multi",$R$4="PY"),ROUND($E24*$G24*(1+M24)/12*'W2'!$D$5,0),(IF(AND($S$4&lt;&gt;"Multi",$R$4="FY"),ROUND(((1+$S$4)^('W2'!$B$20+1)*'W2'!$D$9+(1+$S$4)^('W2'!$B$20+2)*'W2'!$D$10)/12*'Subcontract 1'!$E24*'Subcontract 1'!$G24,0),ROUND($E24*$G24*(1+$S$4)/12*'W2'!$D$5,0))))))))</f>
        <v>0</v>
      </c>
      <c r="P24" s="187">
        <f>IF('W2'!$C$4='W2'!$D$4,(IF(AND($S$4="Multi",$R$4="FY"),ROUND(((1+$M24)^('W2'!$B$20+1)*'W2'!$E$9+(1+$M24)^('W2'!$B$20+2)*'W2'!$E$10)/12*'Subcontract 1'!$E24*'Subcontract 1'!H24,0),(IF(AND($S$4="Multi",$R$4="PY"),ROUND($E24*H24*((1+$M24)^2)/12*'W2'!$E$5,0),(IF(AND($S$4&lt;&gt;"Multi",$R$4="FY"),ROUND(((1+$S$4)^('W2'!$B$20+1)*'W2'!$E$9+(1+$S$4)^('W2'!$B$20+2)*'W2'!$E$10)/12*'Subcontract 1'!$E24*'Subcontract 1'!H24,0),ROUND($E24*H24*((1+$S$4)^2)/12*'W2'!$E$5,0))))))),(IF(AND($S$4="Multi",$R$4="FY"),ROUND(((1+$M24)^('W2'!$B$20+2)*'W2'!$E$9+(1+$M24)^('W2'!$B$20+3)*'W2'!$E$10)/12*'Subcontract 1'!$E24*'Subcontract 1'!H24,0),(IF(AND($S$4="Multi",$R$4="PY"),ROUND($E24*H24*((1+$M24)^2)/12*'W2'!$E$5,0),(IF(AND($S$4&lt;&gt;"Multi",$R$4="FY"),ROUND(((1+$S$4)^('W2'!$B$20+2)*'W2'!$E$9+(1+$S$4)^('W2'!$B$20+3)*'W2'!$E$10)/12*'Subcontract 1'!$E24*'Subcontract 1'!H24,0),ROUND($E24*H24*((1+$S$4)^2)/12*'W2'!$E$5,0))))))))</f>
        <v>0</v>
      </c>
      <c r="Q24" s="187">
        <f>IF('W2'!$C$4='W2'!$D$4,(IF(AND($S$4="Multi",$R$4="FY"),ROUND(((1+$M24)^('W2'!$B$20+2)*'W2'!$F$9+(1+$M24)^('W2'!$B$20+3)*'W2'!$F$10)/12*'Subcontract 1'!$E24*'Subcontract 1'!$I24,0),(IF(AND($S$4="Multi",$R$4="PY"),ROUND($E24*$I24*((1+$M24)^3)/12*'W2'!$F$5,0),(IF(AND($S$4&lt;&gt;"Multi",$R$4="FY"),ROUND(((1+$S$4)^('W2'!$B$20+2)*'W2'!$F$9+(1+$S$4)^('W2'!$B$20+3)*'W2'!$F$10)/12*'Subcontract 1'!$E24*'Subcontract 1'!$I24,0),ROUND($E24*$I24*((1+$S$4)^3)/12*'W2'!$F$5,0))))))),(IF(AND($S$4="Multi",$R$4="FY"),ROUND(((1+$M24)^('W2'!$B$20+3)*'W2'!$F$9+(1+$M24)^('W2'!$B$20+4)*'W2'!$F$10)/12*'Subcontract 1'!$E24*'Subcontract 1'!$I24,0),(IF(AND($S$4="Multi",$R$4="PY"),ROUND($E24*$I24*((1+$M24)^3)/12*'W2'!$F$5,0),(IF(AND($S$4&lt;&gt;"Multi",$R$4="FY"),ROUND(((1+$S$4)^('W2'!$B$20+3)*'W2'!$F$9+(1+$S$4)^('W2'!$B$20+4)*'W2'!$F$10)/12*'Subcontract 1'!$E24*'Subcontract 1'!$I24,0),ROUND($E24*$I24*((1+$S$4)^3)/12*'W2'!$F$5,0))))))))</f>
        <v>0</v>
      </c>
      <c r="R24" s="187">
        <f>IF('W2'!$C$4='W2'!$D$4,(IF(AND($S$4="Multi",$R$4="FY"),ROUND(((1+$M24)^('W2'!$B$20+3)*'W2'!$G$9+(1+$M24)^('W2'!$B$20+4)*'W2'!$G$10)/12*'Subcontract 1'!$E24*'Subcontract 1'!$J24,0),(IF(AND($S$4="Multi",$R$4="PY"),ROUND($E24*$J24*((1+$M24)^4)/12*'W2'!$G$5,0),(IF(AND($S$4&lt;&gt;"Multi",$R$4="FY"),ROUND(((1+$S$4)^('W2'!$B$20+3)*'W2'!$G$9+(1+$S$4)^('W2'!$B$20+4)*'W2'!$G$10)/12*'Subcontract 1'!$E24*'Subcontract 1'!$J24,0),ROUND($E24*$J24*((1+$S$4)^4)/12*'W2'!$G$5,0))))))),(IF(AND($S$4="Multi",$R$4="FY"),ROUND(((1+$M24)^('W2'!$B$20+4)*'W2'!$G$9+(1+$M24)^('W2'!$B$20+5)*'W2'!$G$10)/12*'Subcontract 1'!$E24*'Subcontract 1'!$J24,0),(IF(AND($S$4="Multi",$R$4="PY"),ROUND($E24*$J24*((1+$M24)^4)/12*'W2'!$G$5,0),(IF(AND($S$4&lt;&gt;"Multi",$R$4="FY"),ROUND(((1+$S$4)^('W2'!$B$20+4)*'W2'!$G$9+(1+$S$4)^('W2'!$B$20+5)*'W2'!$G$10)/12*'Subcontract 1'!$E24*'Subcontract 1'!$J24,0),ROUND($E24*$J24*((1+$S$4)^4)/12*'W2'!$G$5,0))))))))</f>
        <v>0</v>
      </c>
      <c r="S24" s="188">
        <f t="shared" si="2"/>
        <v>0</v>
      </c>
      <c r="T24" s="246"/>
      <c r="U24" s="246"/>
      <c r="V24" s="246"/>
      <c r="W24" s="246"/>
      <c r="X24" s="246"/>
      <c r="Y24" s="247"/>
      <c r="Z24" s="247"/>
      <c r="AA24" s="247"/>
      <c r="AB24" s="247"/>
      <c r="AC24" s="24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idden="1" x14ac:dyDescent="0.2">
      <c r="A25" s="192">
        <v>18</v>
      </c>
      <c r="B25" s="193"/>
      <c r="C25" s="193"/>
      <c r="D25" s="194"/>
      <c r="E25" s="195"/>
      <c r="F25" s="221"/>
      <c r="G25" s="221"/>
      <c r="H25" s="221"/>
      <c r="I25" s="221"/>
      <c r="J25" s="221"/>
      <c r="K25" s="190" t="s">
        <v>176</v>
      </c>
      <c r="L25" s="190">
        <v>12</v>
      </c>
      <c r="M25" s="191">
        <v>0.03</v>
      </c>
      <c r="N25" s="187">
        <f>IF(AND($S$4="Multi",$R$4="FY"),ROUND(((1+$M25)^'W2'!$B$20*'W2'!$C$9+(1+$M25)^('W2'!$B$20+1)*'W2'!$C$10)/12*'Subcontract 1'!$E25*'Subcontract 1'!$F25,0),(IF(AND($S$4="Multi",$R$4="PY"),ROUND(E25*F25/12*'W2'!$C$5,0),(IF(AND($S$4&lt;&gt;"Multi",$R$4="FY"),ROUND(((1+$S$4)^'W2'!$B$20*'W2'!$C$9+(1+$S$4)^('W2'!$B$20+1)*'W2'!$C$10)/12*'Subcontract 1'!$E25*'Subcontract 1'!$F25,0),ROUND($E25*$F25/12*'W2'!$C$5,0))))))</f>
        <v>0</v>
      </c>
      <c r="O25" s="187">
        <f>IF('W2'!$C$4='W2'!$D$4,(IF(AND($S$4="Multi",$R$4="FY"),ROUND(((1+$M25)^('W2'!$B$20)*'W2'!$D$9+(1+$M25)^('W2'!$B$20+1)*'W2'!$D$10)/12*'Subcontract 1'!$E25*'Subcontract 1'!$G25,0),(IF(AND($S$4="Multi",$R$4="PY"),ROUND($E25*$G25*(1+M25)/12*'W2'!$D$5,0),(IF(AND($S$4&lt;&gt;"Multi",$R$4="FY"),ROUND(((1+$S$4)^('W2'!$B$20)*'W2'!$D$9+(1+$S$4)^('W2'!$B$20+1)*'W2'!$D$10)/12*'Subcontract 1'!$E25*'Subcontract 1'!$G25,0),ROUND($E25*$G25*(1+$S$4)/12*'W2'!$D$5,0))))))),(IF(AND($S$4="Multi",$R$4="FY"),ROUND(((1+$M25)^('W2'!$B$20+1)*'W2'!$D$9+(1+$M25)^('W2'!$B$20+2)*'W2'!$D$10)/12*'Subcontract 1'!$E25*'Subcontract 1'!$G25,0),(IF(AND($S$4="Multi",$R$4="PY"),ROUND($E25*$G25*(1+M25)/12*'W2'!$D$5,0),(IF(AND($S$4&lt;&gt;"Multi",$R$4="FY"),ROUND(((1+$S$4)^('W2'!$B$20+1)*'W2'!$D$9+(1+$S$4)^('W2'!$B$20+2)*'W2'!$D$10)/12*'Subcontract 1'!$E25*'Subcontract 1'!$G25,0),ROUND($E25*$G25*(1+$S$4)/12*'W2'!$D$5,0))))))))</f>
        <v>0</v>
      </c>
      <c r="P25" s="187">
        <f>IF('W2'!$C$4='W2'!$D$4,(IF(AND($S$4="Multi",$R$4="FY"),ROUND(((1+$M25)^('W2'!$B$20+1)*'W2'!$E$9+(1+$M25)^('W2'!$B$20+2)*'W2'!$E$10)/12*'Subcontract 1'!$E25*'Subcontract 1'!H25,0),(IF(AND($S$4="Multi",$R$4="PY"),ROUND($E25*H25*((1+$M25)^2)/12*'W2'!$E$5,0),(IF(AND($S$4&lt;&gt;"Multi",$R$4="FY"),ROUND(((1+$S$4)^('W2'!$B$20+1)*'W2'!$E$9+(1+$S$4)^('W2'!$B$20+2)*'W2'!$E$10)/12*'Subcontract 1'!$E25*'Subcontract 1'!H25,0),ROUND($E25*H25*((1+$S$4)^2)/12*'W2'!$E$5,0))))))),(IF(AND($S$4="Multi",$R$4="FY"),ROUND(((1+$M25)^('W2'!$B$20+2)*'W2'!$E$9+(1+$M25)^('W2'!$B$20+3)*'W2'!$E$10)/12*'Subcontract 1'!$E25*'Subcontract 1'!H25,0),(IF(AND($S$4="Multi",$R$4="PY"),ROUND($E25*H25*((1+$M25)^2)/12*'W2'!$E$5,0),(IF(AND($S$4&lt;&gt;"Multi",$R$4="FY"),ROUND(((1+$S$4)^('W2'!$B$20+2)*'W2'!$E$9+(1+$S$4)^('W2'!$B$20+3)*'W2'!$E$10)/12*'Subcontract 1'!$E25*'Subcontract 1'!H25,0),ROUND($E25*H25*((1+$S$4)^2)/12*'W2'!$E$5,0))))))))</f>
        <v>0</v>
      </c>
      <c r="Q25" s="187">
        <f>IF('W2'!$C$4='W2'!$D$4,(IF(AND($S$4="Multi",$R$4="FY"),ROUND(((1+$M25)^('W2'!$B$20+2)*'W2'!$F$9+(1+$M25)^('W2'!$B$20+3)*'W2'!$F$10)/12*'Subcontract 1'!$E25*'Subcontract 1'!$I25,0),(IF(AND($S$4="Multi",$R$4="PY"),ROUND($E25*$I25*((1+$M25)^3)/12*'W2'!$F$5,0),(IF(AND($S$4&lt;&gt;"Multi",$R$4="FY"),ROUND(((1+$S$4)^('W2'!$B$20+2)*'W2'!$F$9+(1+$S$4)^('W2'!$B$20+3)*'W2'!$F$10)/12*'Subcontract 1'!$E25*'Subcontract 1'!$I25,0),ROUND($E25*$I25*((1+$S$4)^3)/12*'W2'!$F$5,0))))))),(IF(AND($S$4="Multi",$R$4="FY"),ROUND(((1+$M25)^('W2'!$B$20+3)*'W2'!$F$9+(1+$M25)^('W2'!$B$20+4)*'W2'!$F$10)/12*'Subcontract 1'!$E25*'Subcontract 1'!$I25,0),(IF(AND($S$4="Multi",$R$4="PY"),ROUND($E25*$I25*((1+$M25)^3)/12*'W2'!$F$5,0),(IF(AND($S$4&lt;&gt;"Multi",$R$4="FY"),ROUND(((1+$S$4)^('W2'!$B$20+3)*'W2'!$F$9+(1+$S$4)^('W2'!$B$20+4)*'W2'!$F$10)/12*'Subcontract 1'!$E25*'Subcontract 1'!$I25,0),ROUND($E25*$I25*((1+$S$4)^3)/12*'W2'!$F$5,0))))))))</f>
        <v>0</v>
      </c>
      <c r="R25" s="187">
        <f>IF('W2'!$C$4='W2'!$D$4,(IF(AND($S$4="Multi",$R$4="FY"),ROUND(((1+$M25)^('W2'!$B$20+3)*'W2'!$G$9+(1+$M25)^('W2'!$B$20+4)*'W2'!$G$10)/12*'Subcontract 1'!$E25*'Subcontract 1'!$J25,0),(IF(AND($S$4="Multi",$R$4="PY"),ROUND($E25*$J25*((1+$M25)^4)/12*'W2'!$G$5,0),(IF(AND($S$4&lt;&gt;"Multi",$R$4="FY"),ROUND(((1+$S$4)^('W2'!$B$20+3)*'W2'!$G$9+(1+$S$4)^('W2'!$B$20+4)*'W2'!$G$10)/12*'Subcontract 1'!$E25*'Subcontract 1'!$J25,0),ROUND($E25*$J25*((1+$S$4)^4)/12*'W2'!$G$5,0))))))),(IF(AND($S$4="Multi",$R$4="FY"),ROUND(((1+$M25)^('W2'!$B$20+4)*'W2'!$G$9+(1+$M25)^('W2'!$B$20+5)*'W2'!$G$10)/12*'Subcontract 1'!$E25*'Subcontract 1'!$J25,0),(IF(AND($S$4="Multi",$R$4="PY"),ROUND($E25*$J25*((1+$M25)^4)/12*'W2'!$G$5,0),(IF(AND($S$4&lt;&gt;"Multi",$R$4="FY"),ROUND(((1+$S$4)^('W2'!$B$20+4)*'W2'!$G$9+(1+$S$4)^('W2'!$B$20+5)*'W2'!$G$10)/12*'Subcontract 1'!$E25*'Subcontract 1'!$J25,0),ROUND($E25*$J25*((1+$S$4)^4)/12*'W2'!$G$5,0))))))))</f>
        <v>0</v>
      </c>
      <c r="S25" s="188">
        <f t="shared" si="2"/>
        <v>0</v>
      </c>
      <c r="T25" s="246"/>
      <c r="U25" s="246"/>
      <c r="V25" s="246"/>
      <c r="W25" s="246"/>
      <c r="X25" s="246"/>
      <c r="Y25" s="247"/>
      <c r="Z25" s="247"/>
      <c r="AA25" s="247"/>
      <c r="AB25" s="247"/>
      <c r="AC25" s="24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idden="1" x14ac:dyDescent="0.2">
      <c r="A26" s="192">
        <v>19</v>
      </c>
      <c r="B26" s="193"/>
      <c r="C26" s="193"/>
      <c r="D26" s="194"/>
      <c r="E26" s="195"/>
      <c r="F26" s="221"/>
      <c r="G26" s="221"/>
      <c r="H26" s="221"/>
      <c r="I26" s="221"/>
      <c r="J26" s="221"/>
      <c r="K26" s="190" t="s">
        <v>176</v>
      </c>
      <c r="L26" s="190">
        <v>12</v>
      </c>
      <c r="M26" s="191">
        <v>0.03</v>
      </c>
      <c r="N26" s="187">
        <f>IF(AND($S$4="Multi",$R$4="FY"),ROUND(((1+$M26)^'W2'!$B$20*'W2'!$C$9+(1+$M26)^('W2'!$B$20+1)*'W2'!$C$10)/12*'Subcontract 1'!$E26*'Subcontract 1'!$F26,0),(IF(AND($S$4="Multi",$R$4="PY"),ROUND(E26*F26/12*'W2'!$C$5,0),(IF(AND($S$4&lt;&gt;"Multi",$R$4="FY"),ROUND(((1+$S$4)^'W2'!$B$20*'W2'!$C$9+(1+$S$4)^('W2'!$B$20+1)*'W2'!$C$10)/12*'Subcontract 1'!$E26*'Subcontract 1'!$F26,0),ROUND($E26*$F26/12*'W2'!$C$5,0))))))</f>
        <v>0</v>
      </c>
      <c r="O26" s="187">
        <f>IF('W2'!$C$4='W2'!$D$4,(IF(AND($S$4="Multi",$R$4="FY"),ROUND(((1+$M26)^('W2'!$B$20)*'W2'!$D$9+(1+$M26)^('W2'!$B$20+1)*'W2'!$D$10)/12*'Subcontract 1'!$E26*'Subcontract 1'!$G26,0),(IF(AND($S$4="Multi",$R$4="PY"),ROUND($E26*$G26*(1+M26)/12*'W2'!$D$5,0),(IF(AND($S$4&lt;&gt;"Multi",$R$4="FY"),ROUND(((1+$S$4)^('W2'!$B$20)*'W2'!$D$9+(1+$S$4)^('W2'!$B$20+1)*'W2'!$D$10)/12*'Subcontract 1'!$E26*'Subcontract 1'!$G26,0),ROUND($E26*$G26*(1+$S$4)/12*'W2'!$D$5,0))))))),(IF(AND($S$4="Multi",$R$4="FY"),ROUND(((1+$M26)^('W2'!$B$20+1)*'W2'!$D$9+(1+$M26)^('W2'!$B$20+2)*'W2'!$D$10)/12*'Subcontract 1'!$E26*'Subcontract 1'!$G26,0),(IF(AND($S$4="Multi",$R$4="PY"),ROUND($E26*$G26*(1+M26)/12*'W2'!$D$5,0),(IF(AND($S$4&lt;&gt;"Multi",$R$4="FY"),ROUND(((1+$S$4)^('W2'!$B$20+1)*'W2'!$D$9+(1+$S$4)^('W2'!$B$20+2)*'W2'!$D$10)/12*'Subcontract 1'!$E26*'Subcontract 1'!$G26,0),ROUND($E26*$G26*(1+$S$4)/12*'W2'!$D$5,0))))))))</f>
        <v>0</v>
      </c>
      <c r="P26" s="187">
        <f>IF('W2'!$C$4='W2'!$D$4,(IF(AND($S$4="Multi",$R$4="FY"),ROUND(((1+$M26)^('W2'!$B$20+1)*'W2'!$E$9+(1+$M26)^('W2'!$B$20+2)*'W2'!$E$10)/12*'Subcontract 1'!$E26*'Subcontract 1'!H26,0),(IF(AND($S$4="Multi",$R$4="PY"),ROUND($E26*H26*((1+$M26)^2)/12*'W2'!$E$5,0),(IF(AND($S$4&lt;&gt;"Multi",$R$4="FY"),ROUND(((1+$S$4)^('W2'!$B$20+1)*'W2'!$E$9+(1+$S$4)^('W2'!$B$20+2)*'W2'!$E$10)/12*'Subcontract 1'!$E26*'Subcontract 1'!H26,0),ROUND($E26*H26*((1+$S$4)^2)/12*'W2'!$E$5,0))))))),(IF(AND($S$4="Multi",$R$4="FY"),ROUND(((1+$M26)^('W2'!$B$20+2)*'W2'!$E$9+(1+$M26)^('W2'!$B$20+3)*'W2'!$E$10)/12*'Subcontract 1'!$E26*'Subcontract 1'!H26,0),(IF(AND($S$4="Multi",$R$4="PY"),ROUND($E26*H26*((1+$M26)^2)/12*'W2'!$E$5,0),(IF(AND($S$4&lt;&gt;"Multi",$R$4="FY"),ROUND(((1+$S$4)^('W2'!$B$20+2)*'W2'!$E$9+(1+$S$4)^('W2'!$B$20+3)*'W2'!$E$10)/12*'Subcontract 1'!$E26*'Subcontract 1'!H26,0),ROUND($E26*H26*((1+$S$4)^2)/12*'W2'!$E$5,0))))))))</f>
        <v>0</v>
      </c>
      <c r="Q26" s="187">
        <f>IF('W2'!$C$4='W2'!$D$4,(IF(AND($S$4="Multi",$R$4="FY"),ROUND(((1+$M26)^('W2'!$B$20+2)*'W2'!$F$9+(1+$M26)^('W2'!$B$20+3)*'W2'!$F$10)/12*'Subcontract 1'!$E26*'Subcontract 1'!$I26,0),(IF(AND($S$4="Multi",$R$4="PY"),ROUND($E26*$I26*((1+$M26)^3)/12*'W2'!$F$5,0),(IF(AND($S$4&lt;&gt;"Multi",$R$4="FY"),ROUND(((1+$S$4)^('W2'!$B$20+2)*'W2'!$F$9+(1+$S$4)^('W2'!$B$20+3)*'W2'!$F$10)/12*'Subcontract 1'!$E26*'Subcontract 1'!$I26,0),ROUND($E26*$I26*((1+$S$4)^3)/12*'W2'!$F$5,0))))))),(IF(AND($S$4="Multi",$R$4="FY"),ROUND(((1+$M26)^('W2'!$B$20+3)*'W2'!$F$9+(1+$M26)^('W2'!$B$20+4)*'W2'!$F$10)/12*'Subcontract 1'!$E26*'Subcontract 1'!$I26,0),(IF(AND($S$4="Multi",$R$4="PY"),ROUND($E26*$I26*((1+$M26)^3)/12*'W2'!$F$5,0),(IF(AND($S$4&lt;&gt;"Multi",$R$4="FY"),ROUND(((1+$S$4)^('W2'!$B$20+3)*'W2'!$F$9+(1+$S$4)^('W2'!$B$20+4)*'W2'!$F$10)/12*'Subcontract 1'!$E26*'Subcontract 1'!$I26,0),ROUND($E26*$I26*((1+$S$4)^3)/12*'W2'!$F$5,0))))))))</f>
        <v>0</v>
      </c>
      <c r="R26" s="187">
        <f>IF('W2'!$C$4='W2'!$D$4,(IF(AND($S$4="Multi",$R$4="FY"),ROUND(((1+$M26)^('W2'!$B$20+3)*'W2'!$G$9+(1+$M26)^('W2'!$B$20+4)*'W2'!$G$10)/12*'Subcontract 1'!$E26*'Subcontract 1'!$J26,0),(IF(AND($S$4="Multi",$R$4="PY"),ROUND($E26*$J26*((1+$M26)^4)/12*'W2'!$G$5,0),(IF(AND($S$4&lt;&gt;"Multi",$R$4="FY"),ROUND(((1+$S$4)^('W2'!$B$20+3)*'W2'!$G$9+(1+$S$4)^('W2'!$B$20+4)*'W2'!$G$10)/12*'Subcontract 1'!$E26*'Subcontract 1'!$J26,0),ROUND($E26*$J26*((1+$S$4)^4)/12*'W2'!$G$5,0))))))),(IF(AND($S$4="Multi",$R$4="FY"),ROUND(((1+$M26)^('W2'!$B$20+4)*'W2'!$G$9+(1+$M26)^('W2'!$B$20+5)*'W2'!$G$10)/12*'Subcontract 1'!$E26*'Subcontract 1'!$J26,0),(IF(AND($S$4="Multi",$R$4="PY"),ROUND($E26*$J26*((1+$M26)^4)/12*'W2'!$G$5,0),(IF(AND($S$4&lt;&gt;"Multi",$R$4="FY"),ROUND(((1+$S$4)^('W2'!$B$20+4)*'W2'!$G$9+(1+$S$4)^('W2'!$B$20+5)*'W2'!$G$10)/12*'Subcontract 1'!$E26*'Subcontract 1'!$J26,0),ROUND($E26*$J26*((1+$S$4)^4)/12*'W2'!$G$5,0))))))))</f>
        <v>0</v>
      </c>
      <c r="S26" s="188">
        <f t="shared" si="2"/>
        <v>0</v>
      </c>
      <c r="T26" s="246"/>
      <c r="U26" s="246"/>
      <c r="V26" s="246"/>
      <c r="W26" s="246"/>
      <c r="X26" s="246"/>
      <c r="Y26" s="247"/>
      <c r="Z26" s="247"/>
      <c r="AA26" s="247"/>
      <c r="AB26" s="247"/>
      <c r="AC26" s="24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idden="1" x14ac:dyDescent="0.2">
      <c r="A27" s="192">
        <v>20</v>
      </c>
      <c r="B27" s="193"/>
      <c r="C27" s="193"/>
      <c r="D27" s="194"/>
      <c r="E27" s="195"/>
      <c r="F27" s="221"/>
      <c r="G27" s="221"/>
      <c r="H27" s="221"/>
      <c r="I27" s="221"/>
      <c r="J27" s="221"/>
      <c r="K27" s="190" t="s">
        <v>176</v>
      </c>
      <c r="L27" s="190">
        <v>12</v>
      </c>
      <c r="M27" s="191">
        <v>0.03</v>
      </c>
      <c r="N27" s="187">
        <f>IF(AND($S$4="Multi",$R$4="FY"),ROUND(((1+$M27)^'W2'!$B$20*'W2'!$C$9+(1+$M27)^('W2'!$B$20+1)*'W2'!$C$10)/12*'Subcontract 1'!$E27*'Subcontract 1'!$F27,0),(IF(AND($S$4="Multi",$R$4="PY"),ROUND(E27*F27/12*'W2'!$C$5,0),(IF(AND($S$4&lt;&gt;"Multi",$R$4="FY"),ROUND(((1+$S$4)^'W2'!$B$20*'W2'!$C$9+(1+$S$4)^('W2'!$B$20+1)*'W2'!$C$10)/12*'Subcontract 1'!$E27*'Subcontract 1'!$F27,0),ROUND($E27*$F27/12*'W2'!$C$5,0))))))</f>
        <v>0</v>
      </c>
      <c r="O27" s="187">
        <f>IF('W2'!$C$4='W2'!$D$4,(IF(AND($S$4="Multi",$R$4="FY"),ROUND(((1+$M27)^('W2'!$B$20)*'W2'!$D$9+(1+$M27)^('W2'!$B$20+1)*'W2'!$D$10)/12*'Subcontract 1'!$E27*'Subcontract 1'!$G27,0),(IF(AND($S$4="Multi",$R$4="PY"),ROUND($E27*$G27*(1+M27)/12*'W2'!$D$5,0),(IF(AND($S$4&lt;&gt;"Multi",$R$4="FY"),ROUND(((1+$S$4)^('W2'!$B$20)*'W2'!$D$9+(1+$S$4)^('W2'!$B$20+1)*'W2'!$D$10)/12*'Subcontract 1'!$E27*'Subcontract 1'!$G27,0),ROUND($E27*$G27*(1+$S$4)/12*'W2'!$D$5,0))))))),(IF(AND($S$4="Multi",$R$4="FY"),ROUND(((1+$M27)^('W2'!$B$20+1)*'W2'!$D$9+(1+$M27)^('W2'!$B$20+2)*'W2'!$D$10)/12*'Subcontract 1'!$E27*'Subcontract 1'!$G27,0),(IF(AND($S$4="Multi",$R$4="PY"),ROUND($E27*$G27*(1+M27)/12*'W2'!$D$5,0),(IF(AND($S$4&lt;&gt;"Multi",$R$4="FY"),ROUND(((1+$S$4)^('W2'!$B$20+1)*'W2'!$D$9+(1+$S$4)^('W2'!$B$20+2)*'W2'!$D$10)/12*'Subcontract 1'!$E27*'Subcontract 1'!$G27,0),ROUND($E27*$G27*(1+$S$4)/12*'W2'!$D$5,0))))))))</f>
        <v>0</v>
      </c>
      <c r="P27" s="187">
        <f>IF('W2'!$C$4='W2'!$D$4,(IF(AND($S$4="Multi",$R$4="FY"),ROUND(((1+$M27)^('W2'!$B$20+1)*'W2'!$E$9+(1+$M27)^('W2'!$B$20+2)*'W2'!$E$10)/12*'Subcontract 1'!$E27*'Subcontract 1'!H27,0),(IF(AND($S$4="Multi",$R$4="PY"),ROUND($E27*H27*((1+$M27)^2)/12*'W2'!$E$5,0),(IF(AND($S$4&lt;&gt;"Multi",$R$4="FY"),ROUND(((1+$S$4)^('W2'!$B$20+1)*'W2'!$E$9+(1+$S$4)^('W2'!$B$20+2)*'W2'!$E$10)/12*'Subcontract 1'!$E27*'Subcontract 1'!H27,0),ROUND($E27*H27*((1+$S$4)^2)/12*'W2'!$E$5,0))))))),(IF(AND($S$4="Multi",$R$4="FY"),ROUND(((1+$M27)^('W2'!$B$20+2)*'W2'!$E$9+(1+$M27)^('W2'!$B$20+3)*'W2'!$E$10)/12*'Subcontract 1'!$E27*'Subcontract 1'!H27,0),(IF(AND($S$4="Multi",$R$4="PY"),ROUND($E27*H27*((1+$M27)^2)/12*'W2'!$E$5,0),(IF(AND($S$4&lt;&gt;"Multi",$R$4="FY"),ROUND(((1+$S$4)^('W2'!$B$20+2)*'W2'!$E$9+(1+$S$4)^('W2'!$B$20+3)*'W2'!$E$10)/12*'Subcontract 1'!$E27*'Subcontract 1'!H27,0),ROUND($E27*H27*((1+$S$4)^2)/12*'W2'!$E$5,0))))))))</f>
        <v>0</v>
      </c>
      <c r="Q27" s="187">
        <f>IF('W2'!$C$4='W2'!$D$4,(IF(AND($S$4="Multi",$R$4="FY"),ROUND(((1+$M27)^('W2'!$B$20+2)*'W2'!$F$9+(1+$M27)^('W2'!$B$20+3)*'W2'!$F$10)/12*'Subcontract 1'!$E27*'Subcontract 1'!$I27,0),(IF(AND($S$4="Multi",$R$4="PY"),ROUND($E27*$I27*((1+$M27)^3)/12*'W2'!$F$5,0),(IF(AND($S$4&lt;&gt;"Multi",$R$4="FY"),ROUND(((1+$S$4)^('W2'!$B$20+2)*'W2'!$F$9+(1+$S$4)^('W2'!$B$20+3)*'W2'!$F$10)/12*'Subcontract 1'!$E27*'Subcontract 1'!$I27,0),ROUND($E27*$I27*((1+$S$4)^3)/12*'W2'!$F$5,0))))))),(IF(AND($S$4="Multi",$R$4="FY"),ROUND(((1+$M27)^('W2'!$B$20+3)*'W2'!$F$9+(1+$M27)^('W2'!$B$20+4)*'W2'!$F$10)/12*'Subcontract 1'!$E27*'Subcontract 1'!$I27,0),(IF(AND($S$4="Multi",$R$4="PY"),ROUND($E27*$I27*((1+$M27)^3)/12*'W2'!$F$5,0),(IF(AND($S$4&lt;&gt;"Multi",$R$4="FY"),ROUND(((1+$S$4)^('W2'!$B$20+3)*'W2'!$F$9+(1+$S$4)^('W2'!$B$20+4)*'W2'!$F$10)/12*'Subcontract 1'!$E27*'Subcontract 1'!$I27,0),ROUND($E27*$I27*((1+$S$4)^3)/12*'W2'!$F$5,0))))))))</f>
        <v>0</v>
      </c>
      <c r="R27" s="187">
        <f>IF('W2'!$C$4='W2'!$D$4,(IF(AND($S$4="Multi",$R$4="FY"),ROUND(((1+$M27)^('W2'!$B$20+3)*'W2'!$G$9+(1+$M27)^('W2'!$B$20+4)*'W2'!$G$10)/12*'Subcontract 1'!$E27*'Subcontract 1'!$J27,0),(IF(AND($S$4="Multi",$R$4="PY"),ROUND($E27*$J27*((1+$M27)^4)/12*'W2'!$G$5,0),(IF(AND($S$4&lt;&gt;"Multi",$R$4="FY"),ROUND(((1+$S$4)^('W2'!$B$20+3)*'W2'!$G$9+(1+$S$4)^('W2'!$B$20+4)*'W2'!$G$10)/12*'Subcontract 1'!$E27*'Subcontract 1'!$J27,0),ROUND($E27*$J27*((1+$S$4)^4)/12*'W2'!$G$5,0))))))),(IF(AND($S$4="Multi",$R$4="FY"),ROUND(((1+$M27)^('W2'!$B$20+4)*'W2'!$G$9+(1+$M27)^('W2'!$B$20+5)*'W2'!$G$10)/12*'Subcontract 1'!$E27*'Subcontract 1'!$J27,0),(IF(AND($S$4="Multi",$R$4="PY"),ROUND($E27*$J27*((1+$M27)^4)/12*'W2'!$G$5,0),(IF(AND($S$4&lt;&gt;"Multi",$R$4="FY"),ROUND(((1+$S$4)^('W2'!$B$20+4)*'W2'!$G$9+(1+$S$4)^('W2'!$B$20+5)*'W2'!$G$10)/12*'Subcontract 1'!$E27*'Subcontract 1'!$J27,0),ROUND($E27*$J27*((1+$S$4)^4)/12*'W2'!$G$5,0))))))))</f>
        <v>0</v>
      </c>
      <c r="S27" s="188">
        <f t="shared" si="2"/>
        <v>0</v>
      </c>
      <c r="T27" s="246"/>
      <c r="U27" s="246"/>
      <c r="V27" s="246"/>
      <c r="W27" s="246"/>
      <c r="X27" s="246"/>
      <c r="Y27" s="247"/>
      <c r="Z27" s="247"/>
      <c r="AA27" s="247"/>
      <c r="AB27" s="247"/>
      <c r="AC27" s="24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idden="1" x14ac:dyDescent="0.2">
      <c r="A28" s="192">
        <v>21</v>
      </c>
      <c r="B28" s="193"/>
      <c r="C28" s="193"/>
      <c r="D28" s="194"/>
      <c r="E28" s="195"/>
      <c r="F28" s="221"/>
      <c r="G28" s="221"/>
      <c r="H28" s="221"/>
      <c r="I28" s="221"/>
      <c r="J28" s="221"/>
      <c r="K28" s="190" t="s">
        <v>176</v>
      </c>
      <c r="L28" s="190">
        <v>12</v>
      </c>
      <c r="M28" s="191">
        <v>0.03</v>
      </c>
      <c r="N28" s="187">
        <f>IF(AND($S$4="Multi",$R$4="FY"),ROUND(((1+$M28)^'W2'!$B$20*'W2'!$C$9+(1+$M28)^('W2'!$B$20+1)*'W2'!$C$10)/12*'Subcontract 1'!$E28*'Subcontract 1'!$F28,0),(IF(AND($S$4="Multi",$R$4="PY"),ROUND(E28*F28/12*'W2'!$C$5,0),(IF(AND($S$4&lt;&gt;"Multi",$R$4="FY"),ROUND(((1+$S$4)^'W2'!$B$20*'W2'!$C$9+(1+$S$4)^('W2'!$B$20+1)*'W2'!$C$10)/12*'Subcontract 1'!$E28*'Subcontract 1'!$F28,0),ROUND($E28*$F28/12*'W2'!$C$5,0))))))</f>
        <v>0</v>
      </c>
      <c r="O28" s="187">
        <f>IF('W2'!$C$4='W2'!$D$4,(IF(AND($S$4="Multi",$R$4="FY"),ROUND(((1+$M28)^('W2'!$B$20)*'W2'!$D$9+(1+$M28)^('W2'!$B$20+1)*'W2'!$D$10)/12*'Subcontract 1'!$E28*'Subcontract 1'!$G28,0),(IF(AND($S$4="Multi",$R$4="PY"),ROUND($E28*$G28*(1+M28)/12*'W2'!$D$5,0),(IF(AND($S$4&lt;&gt;"Multi",$R$4="FY"),ROUND(((1+$S$4)^('W2'!$B$20)*'W2'!$D$9+(1+$S$4)^('W2'!$B$20+1)*'W2'!$D$10)/12*'Subcontract 1'!$E28*'Subcontract 1'!$G28,0),ROUND($E28*$G28*(1+$S$4)/12*'W2'!$D$5,0))))))),(IF(AND($S$4="Multi",$R$4="FY"),ROUND(((1+$M28)^('W2'!$B$20+1)*'W2'!$D$9+(1+$M28)^('W2'!$B$20+2)*'W2'!$D$10)/12*'Subcontract 1'!$E28*'Subcontract 1'!$G28,0),(IF(AND($S$4="Multi",$R$4="PY"),ROUND($E28*$G28*(1+M28)/12*'W2'!$D$5,0),(IF(AND($S$4&lt;&gt;"Multi",$R$4="FY"),ROUND(((1+$S$4)^('W2'!$B$20+1)*'W2'!$D$9+(1+$S$4)^('W2'!$B$20+2)*'W2'!$D$10)/12*'Subcontract 1'!$E28*'Subcontract 1'!$G28,0),ROUND($E28*$G28*(1+$S$4)/12*'W2'!$D$5,0))))))))</f>
        <v>0</v>
      </c>
      <c r="P28" s="187">
        <f>IF('W2'!$C$4='W2'!$D$4,(IF(AND($S$4="Multi",$R$4="FY"),ROUND(((1+$M28)^('W2'!$B$20+1)*'W2'!$E$9+(1+$M28)^('W2'!$B$20+2)*'W2'!$E$10)/12*'Subcontract 1'!$E28*'Subcontract 1'!H28,0),(IF(AND($S$4="Multi",$R$4="PY"),ROUND($E28*H28*((1+$M28)^2)/12*'W2'!$E$5,0),(IF(AND($S$4&lt;&gt;"Multi",$R$4="FY"),ROUND(((1+$S$4)^('W2'!$B$20+1)*'W2'!$E$9+(1+$S$4)^('W2'!$B$20+2)*'W2'!$E$10)/12*'Subcontract 1'!$E28*'Subcontract 1'!H28,0),ROUND($E28*H28*((1+$S$4)^2)/12*'W2'!$E$5,0))))))),(IF(AND($S$4="Multi",$R$4="FY"),ROUND(((1+$M28)^('W2'!$B$20+2)*'W2'!$E$9+(1+$M28)^('W2'!$B$20+3)*'W2'!$E$10)/12*'Subcontract 1'!$E28*'Subcontract 1'!H28,0),(IF(AND($S$4="Multi",$R$4="PY"),ROUND($E28*H28*((1+$M28)^2)/12*'W2'!$E$5,0),(IF(AND($S$4&lt;&gt;"Multi",$R$4="FY"),ROUND(((1+$S$4)^('W2'!$B$20+2)*'W2'!$E$9+(1+$S$4)^('W2'!$B$20+3)*'W2'!$E$10)/12*'Subcontract 1'!$E28*'Subcontract 1'!H28,0),ROUND($E28*H28*((1+$S$4)^2)/12*'W2'!$E$5,0))))))))</f>
        <v>0</v>
      </c>
      <c r="Q28" s="187">
        <f>IF('W2'!$C$4='W2'!$D$4,(IF(AND($S$4="Multi",$R$4="FY"),ROUND(((1+$M28)^('W2'!$B$20+2)*'W2'!$F$9+(1+$M28)^('W2'!$B$20+3)*'W2'!$F$10)/12*'Subcontract 1'!$E28*'Subcontract 1'!$I28,0),(IF(AND($S$4="Multi",$R$4="PY"),ROUND($E28*$I28*((1+$M28)^3)/12*'W2'!$F$5,0),(IF(AND($S$4&lt;&gt;"Multi",$R$4="FY"),ROUND(((1+$S$4)^('W2'!$B$20+2)*'W2'!$F$9+(1+$S$4)^('W2'!$B$20+3)*'W2'!$F$10)/12*'Subcontract 1'!$E28*'Subcontract 1'!$I28,0),ROUND($E28*$I28*((1+$S$4)^3)/12*'W2'!$F$5,0))))))),(IF(AND($S$4="Multi",$R$4="FY"),ROUND(((1+$M28)^('W2'!$B$20+3)*'W2'!$F$9+(1+$M28)^('W2'!$B$20+4)*'W2'!$F$10)/12*'Subcontract 1'!$E28*'Subcontract 1'!$I28,0),(IF(AND($S$4="Multi",$R$4="PY"),ROUND($E28*$I28*((1+$M28)^3)/12*'W2'!$F$5,0),(IF(AND($S$4&lt;&gt;"Multi",$R$4="FY"),ROUND(((1+$S$4)^('W2'!$B$20+3)*'W2'!$F$9+(1+$S$4)^('W2'!$B$20+4)*'W2'!$F$10)/12*'Subcontract 1'!$E28*'Subcontract 1'!$I28,0),ROUND($E28*$I28*((1+$S$4)^3)/12*'W2'!$F$5,0))))))))</f>
        <v>0</v>
      </c>
      <c r="R28" s="187">
        <f>IF('W2'!$C$4='W2'!$D$4,(IF(AND($S$4="Multi",$R$4="FY"),ROUND(((1+$M28)^('W2'!$B$20+3)*'W2'!$G$9+(1+$M28)^('W2'!$B$20+4)*'W2'!$G$10)/12*'Subcontract 1'!$E28*'Subcontract 1'!$J28,0),(IF(AND($S$4="Multi",$R$4="PY"),ROUND($E28*$J28*((1+$M28)^4)/12*'W2'!$G$5,0),(IF(AND($S$4&lt;&gt;"Multi",$R$4="FY"),ROUND(((1+$S$4)^('W2'!$B$20+3)*'W2'!$G$9+(1+$S$4)^('W2'!$B$20+4)*'W2'!$G$10)/12*'Subcontract 1'!$E28*'Subcontract 1'!$J28,0),ROUND($E28*$J28*((1+$S$4)^4)/12*'W2'!$G$5,0))))))),(IF(AND($S$4="Multi",$R$4="FY"),ROUND(((1+$M28)^('W2'!$B$20+4)*'W2'!$G$9+(1+$M28)^('W2'!$B$20+5)*'W2'!$G$10)/12*'Subcontract 1'!$E28*'Subcontract 1'!$J28,0),(IF(AND($S$4="Multi",$R$4="PY"),ROUND($E28*$J28*((1+$M28)^4)/12*'W2'!$G$5,0),(IF(AND($S$4&lt;&gt;"Multi",$R$4="FY"),ROUND(((1+$S$4)^('W2'!$B$20+4)*'W2'!$G$9+(1+$S$4)^('W2'!$B$20+5)*'W2'!$G$10)/12*'Subcontract 1'!$E28*'Subcontract 1'!$J28,0),ROUND($E28*$J28*((1+$S$4)^4)/12*'W2'!$G$5,0))))))))</f>
        <v>0</v>
      </c>
      <c r="S28" s="188">
        <f t="shared" si="2"/>
        <v>0</v>
      </c>
      <c r="T28" s="246"/>
      <c r="U28" s="246"/>
      <c r="V28" s="246"/>
      <c r="W28" s="246"/>
      <c r="X28" s="246"/>
      <c r="Y28" s="247"/>
      <c r="Z28" s="247"/>
      <c r="AA28" s="247"/>
      <c r="AB28" s="247"/>
      <c r="AC28" s="24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idden="1" x14ac:dyDescent="0.2">
      <c r="A29" s="192">
        <v>22</v>
      </c>
      <c r="B29" s="193"/>
      <c r="C29" s="193"/>
      <c r="D29" s="194"/>
      <c r="E29" s="195"/>
      <c r="F29" s="221"/>
      <c r="G29" s="221"/>
      <c r="H29" s="221"/>
      <c r="I29" s="221"/>
      <c r="J29" s="221"/>
      <c r="K29" s="190" t="s">
        <v>176</v>
      </c>
      <c r="L29" s="190">
        <v>12</v>
      </c>
      <c r="M29" s="191">
        <v>0.03</v>
      </c>
      <c r="N29" s="187">
        <f>IF(AND($S$4="Multi",$R$4="FY"),ROUND(((1+$M29)^'W2'!$B$20*'W2'!$C$9+(1+$M29)^('W2'!$B$20+1)*'W2'!$C$10)/12*'Subcontract 1'!$E29*'Subcontract 1'!$F29,0),(IF(AND($S$4="Multi",$R$4="PY"),ROUND(E29*F29/12*'W2'!$C$5,0),(IF(AND($S$4&lt;&gt;"Multi",$R$4="FY"),ROUND(((1+$S$4)^'W2'!$B$20*'W2'!$C$9+(1+$S$4)^('W2'!$B$20+1)*'W2'!$C$10)/12*'Subcontract 1'!$E29*'Subcontract 1'!$F29,0),ROUND($E29*$F29/12*'W2'!$C$5,0))))))</f>
        <v>0</v>
      </c>
      <c r="O29" s="187">
        <f>IF('W2'!$C$4='W2'!$D$4,(IF(AND($S$4="Multi",$R$4="FY"),ROUND(((1+$M29)^('W2'!$B$20)*'W2'!$D$9+(1+$M29)^('W2'!$B$20+1)*'W2'!$D$10)/12*'Subcontract 1'!$E29*'Subcontract 1'!$G29,0),(IF(AND($S$4="Multi",$R$4="PY"),ROUND($E29*$G29*(1+M29)/12*'W2'!$D$5,0),(IF(AND($S$4&lt;&gt;"Multi",$R$4="FY"),ROUND(((1+$S$4)^('W2'!$B$20)*'W2'!$D$9+(1+$S$4)^('W2'!$B$20+1)*'W2'!$D$10)/12*'Subcontract 1'!$E29*'Subcontract 1'!$G29,0),ROUND($E29*$G29*(1+$S$4)/12*'W2'!$D$5,0))))))),(IF(AND($S$4="Multi",$R$4="FY"),ROUND(((1+$M29)^('W2'!$B$20+1)*'W2'!$D$9+(1+$M29)^('W2'!$B$20+2)*'W2'!$D$10)/12*'Subcontract 1'!$E29*'Subcontract 1'!$G29,0),(IF(AND($S$4="Multi",$R$4="PY"),ROUND($E29*$G29*(1+M29)/12*'W2'!$D$5,0),(IF(AND($S$4&lt;&gt;"Multi",$R$4="FY"),ROUND(((1+$S$4)^('W2'!$B$20+1)*'W2'!$D$9+(1+$S$4)^('W2'!$B$20+2)*'W2'!$D$10)/12*'Subcontract 1'!$E29*'Subcontract 1'!$G29,0),ROUND($E29*$G29*(1+$S$4)/12*'W2'!$D$5,0))))))))</f>
        <v>0</v>
      </c>
      <c r="P29" s="187">
        <f>IF('W2'!$C$4='W2'!$D$4,(IF(AND($S$4="Multi",$R$4="FY"),ROUND(((1+$M29)^('W2'!$B$20+1)*'W2'!$E$9+(1+$M29)^('W2'!$B$20+2)*'W2'!$E$10)/12*'Subcontract 1'!$E29*'Subcontract 1'!H29,0),(IF(AND($S$4="Multi",$R$4="PY"),ROUND($E29*H29*((1+$M29)^2)/12*'W2'!$E$5,0),(IF(AND($S$4&lt;&gt;"Multi",$R$4="FY"),ROUND(((1+$S$4)^('W2'!$B$20+1)*'W2'!$E$9+(1+$S$4)^('W2'!$B$20+2)*'W2'!$E$10)/12*'Subcontract 1'!$E29*'Subcontract 1'!H29,0),ROUND($E29*H29*((1+$S$4)^2)/12*'W2'!$E$5,0))))))),(IF(AND($S$4="Multi",$R$4="FY"),ROUND(((1+$M29)^('W2'!$B$20+2)*'W2'!$E$9+(1+$M29)^('W2'!$B$20+3)*'W2'!$E$10)/12*'Subcontract 1'!$E29*'Subcontract 1'!H29,0),(IF(AND($S$4="Multi",$R$4="PY"),ROUND($E29*H29*((1+$M29)^2)/12*'W2'!$E$5,0),(IF(AND($S$4&lt;&gt;"Multi",$R$4="FY"),ROUND(((1+$S$4)^('W2'!$B$20+2)*'W2'!$E$9+(1+$S$4)^('W2'!$B$20+3)*'W2'!$E$10)/12*'Subcontract 1'!$E29*'Subcontract 1'!H29,0),ROUND($E29*H29*((1+$S$4)^2)/12*'W2'!$E$5,0))))))))</f>
        <v>0</v>
      </c>
      <c r="Q29" s="187">
        <f>IF('W2'!$C$4='W2'!$D$4,(IF(AND($S$4="Multi",$R$4="FY"),ROUND(((1+$M29)^('W2'!$B$20+2)*'W2'!$F$9+(1+$M29)^('W2'!$B$20+3)*'W2'!$F$10)/12*'Subcontract 1'!$E29*'Subcontract 1'!$I29,0),(IF(AND($S$4="Multi",$R$4="PY"),ROUND($E29*$I29*((1+$M29)^3)/12*'W2'!$F$5,0),(IF(AND($S$4&lt;&gt;"Multi",$R$4="FY"),ROUND(((1+$S$4)^('W2'!$B$20+2)*'W2'!$F$9+(1+$S$4)^('W2'!$B$20+3)*'W2'!$F$10)/12*'Subcontract 1'!$E29*'Subcontract 1'!$I29,0),ROUND($E29*$I29*((1+$S$4)^3)/12*'W2'!$F$5,0))))))),(IF(AND($S$4="Multi",$R$4="FY"),ROUND(((1+$M29)^('W2'!$B$20+3)*'W2'!$F$9+(1+$M29)^('W2'!$B$20+4)*'W2'!$F$10)/12*'Subcontract 1'!$E29*'Subcontract 1'!$I29,0),(IF(AND($S$4="Multi",$R$4="PY"),ROUND($E29*$I29*((1+$M29)^3)/12*'W2'!$F$5,0),(IF(AND($S$4&lt;&gt;"Multi",$R$4="FY"),ROUND(((1+$S$4)^('W2'!$B$20+3)*'W2'!$F$9+(1+$S$4)^('W2'!$B$20+4)*'W2'!$F$10)/12*'Subcontract 1'!$E29*'Subcontract 1'!$I29,0),ROUND($E29*$I29*((1+$S$4)^3)/12*'W2'!$F$5,0))))))))</f>
        <v>0</v>
      </c>
      <c r="R29" s="187">
        <f>IF('W2'!$C$4='W2'!$D$4,(IF(AND($S$4="Multi",$R$4="FY"),ROUND(((1+$M29)^('W2'!$B$20+3)*'W2'!$G$9+(1+$M29)^('W2'!$B$20+4)*'W2'!$G$10)/12*'Subcontract 1'!$E29*'Subcontract 1'!$J29,0),(IF(AND($S$4="Multi",$R$4="PY"),ROUND($E29*$J29*((1+$M29)^4)/12*'W2'!$G$5,0),(IF(AND($S$4&lt;&gt;"Multi",$R$4="FY"),ROUND(((1+$S$4)^('W2'!$B$20+3)*'W2'!$G$9+(1+$S$4)^('W2'!$B$20+4)*'W2'!$G$10)/12*'Subcontract 1'!$E29*'Subcontract 1'!$J29,0),ROUND($E29*$J29*((1+$S$4)^4)/12*'W2'!$G$5,0))))))),(IF(AND($S$4="Multi",$R$4="FY"),ROUND(((1+$M29)^('W2'!$B$20+4)*'W2'!$G$9+(1+$M29)^('W2'!$B$20+5)*'W2'!$G$10)/12*'Subcontract 1'!$E29*'Subcontract 1'!$J29,0),(IF(AND($S$4="Multi",$R$4="PY"),ROUND($E29*$J29*((1+$M29)^4)/12*'W2'!$G$5,0),(IF(AND($S$4&lt;&gt;"Multi",$R$4="FY"),ROUND(((1+$S$4)^('W2'!$B$20+4)*'W2'!$G$9+(1+$S$4)^('W2'!$B$20+5)*'W2'!$G$10)/12*'Subcontract 1'!$E29*'Subcontract 1'!$J29,0),ROUND($E29*$J29*((1+$S$4)^4)/12*'W2'!$G$5,0))))))))</f>
        <v>0</v>
      </c>
      <c r="S29" s="188">
        <f t="shared" si="2"/>
        <v>0</v>
      </c>
      <c r="T29" s="246"/>
      <c r="U29" s="246"/>
      <c r="V29" s="246"/>
      <c r="W29" s="246"/>
      <c r="X29" s="246"/>
      <c r="Y29" s="247"/>
      <c r="Z29" s="247"/>
      <c r="AA29" s="247"/>
      <c r="AB29" s="247"/>
      <c r="AC29" s="24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idden="1" x14ac:dyDescent="0.2">
      <c r="A30" s="192">
        <v>23</v>
      </c>
      <c r="B30" s="193"/>
      <c r="C30" s="193"/>
      <c r="D30" s="194"/>
      <c r="E30" s="195"/>
      <c r="F30" s="221"/>
      <c r="G30" s="221"/>
      <c r="H30" s="221"/>
      <c r="I30" s="221"/>
      <c r="J30" s="221"/>
      <c r="K30" s="190" t="s">
        <v>176</v>
      </c>
      <c r="L30" s="190">
        <v>12</v>
      </c>
      <c r="M30" s="191">
        <v>0.03</v>
      </c>
      <c r="N30" s="187">
        <f>IF(AND($S$4="Multi",$R$4="FY"),ROUND(((1+$M30)^'W2'!$B$20*'W2'!$C$9+(1+$M30)^('W2'!$B$20+1)*'W2'!$C$10)/12*'Subcontract 1'!$E30*'Subcontract 1'!$F30,0),(IF(AND($S$4="Multi",$R$4="PY"),ROUND(E30*F30/12*'W2'!$C$5,0),(IF(AND($S$4&lt;&gt;"Multi",$R$4="FY"),ROUND(((1+$S$4)^'W2'!$B$20*'W2'!$C$9+(1+$S$4)^('W2'!$B$20+1)*'W2'!$C$10)/12*'Subcontract 1'!$E30*'Subcontract 1'!$F30,0),ROUND($E30*$F30/12*'W2'!$C$5,0))))))</f>
        <v>0</v>
      </c>
      <c r="O30" s="187">
        <f>IF('W2'!$C$4='W2'!$D$4,(IF(AND($S$4="Multi",$R$4="FY"),ROUND(((1+$M30)^('W2'!$B$20)*'W2'!$D$9+(1+$M30)^('W2'!$B$20+1)*'W2'!$D$10)/12*'Subcontract 1'!$E30*'Subcontract 1'!$G30,0),(IF(AND($S$4="Multi",$R$4="PY"),ROUND($E30*$G30*(1+M30)/12*'W2'!$D$5,0),(IF(AND($S$4&lt;&gt;"Multi",$R$4="FY"),ROUND(((1+$S$4)^('W2'!$B$20)*'W2'!$D$9+(1+$S$4)^('W2'!$B$20+1)*'W2'!$D$10)/12*'Subcontract 1'!$E30*'Subcontract 1'!$G30,0),ROUND($E30*$G30*(1+$S$4)/12*'W2'!$D$5,0))))))),(IF(AND($S$4="Multi",$R$4="FY"),ROUND(((1+$M30)^('W2'!$B$20+1)*'W2'!$D$9+(1+$M30)^('W2'!$B$20+2)*'W2'!$D$10)/12*'Subcontract 1'!$E30*'Subcontract 1'!$G30,0),(IF(AND($S$4="Multi",$R$4="PY"),ROUND($E30*$G30*(1+M30)/12*'W2'!$D$5,0),(IF(AND($S$4&lt;&gt;"Multi",$R$4="FY"),ROUND(((1+$S$4)^('W2'!$B$20+1)*'W2'!$D$9+(1+$S$4)^('W2'!$B$20+2)*'W2'!$D$10)/12*'Subcontract 1'!$E30*'Subcontract 1'!$G30,0),ROUND($E30*$G30*(1+$S$4)/12*'W2'!$D$5,0))))))))</f>
        <v>0</v>
      </c>
      <c r="P30" s="187">
        <f>IF('W2'!$C$4='W2'!$D$4,(IF(AND($S$4="Multi",$R$4="FY"),ROUND(((1+$M30)^('W2'!$B$20+1)*'W2'!$E$9+(1+$M30)^('W2'!$B$20+2)*'W2'!$E$10)/12*'Subcontract 1'!$E30*'Subcontract 1'!H30,0),(IF(AND($S$4="Multi",$R$4="PY"),ROUND($E30*H30*((1+$M30)^2)/12*'W2'!$E$5,0),(IF(AND($S$4&lt;&gt;"Multi",$R$4="FY"),ROUND(((1+$S$4)^('W2'!$B$20+1)*'W2'!$E$9+(1+$S$4)^('W2'!$B$20+2)*'W2'!$E$10)/12*'Subcontract 1'!$E30*'Subcontract 1'!H30,0),ROUND($E30*H30*((1+$S$4)^2)/12*'W2'!$E$5,0))))))),(IF(AND($S$4="Multi",$R$4="FY"),ROUND(((1+$M30)^('W2'!$B$20+2)*'W2'!$E$9+(1+$M30)^('W2'!$B$20+3)*'W2'!$E$10)/12*'Subcontract 1'!$E30*'Subcontract 1'!H30,0),(IF(AND($S$4="Multi",$R$4="PY"),ROUND($E30*H30*((1+$M30)^2)/12*'W2'!$E$5,0),(IF(AND($S$4&lt;&gt;"Multi",$R$4="FY"),ROUND(((1+$S$4)^('W2'!$B$20+2)*'W2'!$E$9+(1+$S$4)^('W2'!$B$20+3)*'W2'!$E$10)/12*'Subcontract 1'!$E30*'Subcontract 1'!H30,0),ROUND($E30*H30*((1+$S$4)^2)/12*'W2'!$E$5,0))))))))</f>
        <v>0</v>
      </c>
      <c r="Q30" s="187">
        <f>IF('W2'!$C$4='W2'!$D$4,(IF(AND($S$4="Multi",$R$4="FY"),ROUND(((1+$M30)^('W2'!$B$20+2)*'W2'!$F$9+(1+$M30)^('W2'!$B$20+3)*'W2'!$F$10)/12*'Subcontract 1'!$E30*'Subcontract 1'!$I30,0),(IF(AND($S$4="Multi",$R$4="PY"),ROUND($E30*$I30*((1+$M30)^3)/12*'W2'!$F$5,0),(IF(AND($S$4&lt;&gt;"Multi",$R$4="FY"),ROUND(((1+$S$4)^('W2'!$B$20+2)*'W2'!$F$9+(1+$S$4)^('W2'!$B$20+3)*'W2'!$F$10)/12*'Subcontract 1'!$E30*'Subcontract 1'!$I30,0),ROUND($E30*$I30*((1+$S$4)^3)/12*'W2'!$F$5,0))))))),(IF(AND($S$4="Multi",$R$4="FY"),ROUND(((1+$M30)^('W2'!$B$20+3)*'W2'!$F$9+(1+$M30)^('W2'!$B$20+4)*'W2'!$F$10)/12*'Subcontract 1'!$E30*'Subcontract 1'!$I30,0),(IF(AND($S$4="Multi",$R$4="PY"),ROUND($E30*$I30*((1+$M30)^3)/12*'W2'!$F$5,0),(IF(AND($S$4&lt;&gt;"Multi",$R$4="FY"),ROUND(((1+$S$4)^('W2'!$B$20+3)*'W2'!$F$9+(1+$S$4)^('W2'!$B$20+4)*'W2'!$F$10)/12*'Subcontract 1'!$E30*'Subcontract 1'!$I30,0),ROUND($E30*$I30*((1+$S$4)^3)/12*'W2'!$F$5,0))))))))</f>
        <v>0</v>
      </c>
      <c r="R30" s="187">
        <f>IF('W2'!$C$4='W2'!$D$4,(IF(AND($S$4="Multi",$R$4="FY"),ROUND(((1+$M30)^('W2'!$B$20+3)*'W2'!$G$9+(1+$M30)^('W2'!$B$20+4)*'W2'!$G$10)/12*'Subcontract 1'!$E30*'Subcontract 1'!$J30,0),(IF(AND($S$4="Multi",$R$4="PY"),ROUND($E30*$J30*((1+$M30)^4)/12*'W2'!$G$5,0),(IF(AND($S$4&lt;&gt;"Multi",$R$4="FY"),ROUND(((1+$S$4)^('W2'!$B$20+3)*'W2'!$G$9+(1+$S$4)^('W2'!$B$20+4)*'W2'!$G$10)/12*'Subcontract 1'!$E30*'Subcontract 1'!$J30,0),ROUND($E30*$J30*((1+$S$4)^4)/12*'W2'!$G$5,0))))))),(IF(AND($S$4="Multi",$R$4="FY"),ROUND(((1+$M30)^('W2'!$B$20+4)*'W2'!$G$9+(1+$M30)^('W2'!$B$20+5)*'W2'!$G$10)/12*'Subcontract 1'!$E30*'Subcontract 1'!$J30,0),(IF(AND($S$4="Multi",$R$4="PY"),ROUND($E30*$J30*((1+$M30)^4)/12*'W2'!$G$5,0),(IF(AND($S$4&lt;&gt;"Multi",$R$4="FY"),ROUND(((1+$S$4)^('W2'!$B$20+4)*'W2'!$G$9+(1+$S$4)^('W2'!$B$20+5)*'W2'!$G$10)/12*'Subcontract 1'!$E30*'Subcontract 1'!$J30,0),ROUND($E30*$J30*((1+$S$4)^4)/12*'W2'!$G$5,0))))))))</f>
        <v>0</v>
      </c>
      <c r="S30" s="188">
        <f t="shared" si="2"/>
        <v>0</v>
      </c>
      <c r="T30" s="246"/>
      <c r="U30" s="246"/>
      <c r="V30" s="246"/>
      <c r="W30" s="246"/>
      <c r="X30" s="246"/>
      <c r="Y30" s="247"/>
      <c r="Z30" s="247"/>
      <c r="AA30" s="247"/>
      <c r="AB30" s="247"/>
      <c r="AC30" s="24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idden="1" x14ac:dyDescent="0.2">
      <c r="A31" s="192">
        <v>24</v>
      </c>
      <c r="B31" s="193"/>
      <c r="C31" s="193"/>
      <c r="D31" s="194"/>
      <c r="E31" s="195"/>
      <c r="F31" s="221"/>
      <c r="G31" s="221"/>
      <c r="H31" s="221"/>
      <c r="I31" s="221"/>
      <c r="J31" s="221"/>
      <c r="K31" s="190" t="s">
        <v>176</v>
      </c>
      <c r="L31" s="190">
        <v>12</v>
      </c>
      <c r="M31" s="191">
        <v>0.03</v>
      </c>
      <c r="N31" s="187">
        <f>IF(AND($S$4="Multi",$R$4="FY"),ROUND(((1+$M31)^'W2'!$B$20*'W2'!$C$9+(1+$M31)^('W2'!$B$20+1)*'W2'!$C$10)/12*'Subcontract 1'!$E31*'Subcontract 1'!$F31,0),(IF(AND($S$4="Multi",$R$4="PY"),ROUND(E31*F31/12*'W2'!$C$5,0),(IF(AND($S$4&lt;&gt;"Multi",$R$4="FY"),ROUND(((1+$S$4)^'W2'!$B$20*'W2'!$C$9+(1+$S$4)^('W2'!$B$20+1)*'W2'!$C$10)/12*'Subcontract 1'!$E31*'Subcontract 1'!$F31,0),ROUND($E31*$F31/12*'W2'!$C$5,0))))))</f>
        <v>0</v>
      </c>
      <c r="O31" s="187">
        <f>IF('W2'!$C$4='W2'!$D$4,(IF(AND($S$4="Multi",$R$4="FY"),ROUND(((1+$M31)^('W2'!$B$20)*'W2'!$D$9+(1+$M31)^('W2'!$B$20+1)*'W2'!$D$10)/12*'Subcontract 1'!$E31*'Subcontract 1'!$G31,0),(IF(AND($S$4="Multi",$R$4="PY"),ROUND($E31*$G31*(1+M31)/12*'W2'!$D$5,0),(IF(AND($S$4&lt;&gt;"Multi",$R$4="FY"),ROUND(((1+$S$4)^('W2'!$B$20)*'W2'!$D$9+(1+$S$4)^('W2'!$B$20+1)*'W2'!$D$10)/12*'Subcontract 1'!$E31*'Subcontract 1'!$G31,0),ROUND($E31*$G31*(1+$S$4)/12*'W2'!$D$5,0))))))),(IF(AND($S$4="Multi",$R$4="FY"),ROUND(((1+$M31)^('W2'!$B$20+1)*'W2'!$D$9+(1+$M31)^('W2'!$B$20+2)*'W2'!$D$10)/12*'Subcontract 1'!$E31*'Subcontract 1'!$G31,0),(IF(AND($S$4="Multi",$R$4="PY"),ROUND($E31*$G31*(1+M31)/12*'W2'!$D$5,0),(IF(AND($S$4&lt;&gt;"Multi",$R$4="FY"),ROUND(((1+$S$4)^('W2'!$B$20+1)*'W2'!$D$9+(1+$S$4)^('W2'!$B$20+2)*'W2'!$D$10)/12*'Subcontract 1'!$E31*'Subcontract 1'!$G31,0),ROUND($E31*$G31*(1+$S$4)/12*'W2'!$D$5,0))))))))</f>
        <v>0</v>
      </c>
      <c r="P31" s="187">
        <f>IF('W2'!$C$4='W2'!$D$4,(IF(AND($S$4="Multi",$R$4="FY"),ROUND(((1+$M31)^('W2'!$B$20+1)*'W2'!$E$9+(1+$M31)^('W2'!$B$20+2)*'W2'!$E$10)/12*'Subcontract 1'!$E31*'Subcontract 1'!H31,0),(IF(AND($S$4="Multi",$R$4="PY"),ROUND($E31*H31*((1+$M31)^2)/12*'W2'!$E$5,0),(IF(AND($S$4&lt;&gt;"Multi",$R$4="FY"),ROUND(((1+$S$4)^('W2'!$B$20+1)*'W2'!$E$9+(1+$S$4)^('W2'!$B$20+2)*'W2'!$E$10)/12*'Subcontract 1'!$E31*'Subcontract 1'!H31,0),ROUND($E31*H31*((1+$S$4)^2)/12*'W2'!$E$5,0))))))),(IF(AND($S$4="Multi",$R$4="FY"),ROUND(((1+$M31)^('W2'!$B$20+2)*'W2'!$E$9+(1+$M31)^('W2'!$B$20+3)*'W2'!$E$10)/12*'Subcontract 1'!$E31*'Subcontract 1'!H31,0),(IF(AND($S$4="Multi",$R$4="PY"),ROUND($E31*H31*((1+$M31)^2)/12*'W2'!$E$5,0),(IF(AND($S$4&lt;&gt;"Multi",$R$4="FY"),ROUND(((1+$S$4)^('W2'!$B$20+2)*'W2'!$E$9+(1+$S$4)^('W2'!$B$20+3)*'W2'!$E$10)/12*'Subcontract 1'!$E31*'Subcontract 1'!H31,0),ROUND($E31*H31*((1+$S$4)^2)/12*'W2'!$E$5,0))))))))</f>
        <v>0</v>
      </c>
      <c r="Q31" s="187">
        <f>IF('W2'!$C$4='W2'!$D$4,(IF(AND($S$4="Multi",$R$4="FY"),ROUND(((1+$M31)^('W2'!$B$20+2)*'W2'!$F$9+(1+$M31)^('W2'!$B$20+3)*'W2'!$F$10)/12*'Subcontract 1'!$E31*'Subcontract 1'!$I31,0),(IF(AND($S$4="Multi",$R$4="PY"),ROUND($E31*$I31*((1+$M31)^3)/12*'W2'!$F$5,0),(IF(AND($S$4&lt;&gt;"Multi",$R$4="FY"),ROUND(((1+$S$4)^('W2'!$B$20+2)*'W2'!$F$9+(1+$S$4)^('W2'!$B$20+3)*'W2'!$F$10)/12*'Subcontract 1'!$E31*'Subcontract 1'!$I31,0),ROUND($E31*$I31*((1+$S$4)^3)/12*'W2'!$F$5,0))))))),(IF(AND($S$4="Multi",$R$4="FY"),ROUND(((1+$M31)^('W2'!$B$20+3)*'W2'!$F$9+(1+$M31)^('W2'!$B$20+4)*'W2'!$F$10)/12*'Subcontract 1'!$E31*'Subcontract 1'!$I31,0),(IF(AND($S$4="Multi",$R$4="PY"),ROUND($E31*$I31*((1+$M31)^3)/12*'W2'!$F$5,0),(IF(AND($S$4&lt;&gt;"Multi",$R$4="FY"),ROUND(((1+$S$4)^('W2'!$B$20+3)*'W2'!$F$9+(1+$S$4)^('W2'!$B$20+4)*'W2'!$F$10)/12*'Subcontract 1'!$E31*'Subcontract 1'!$I31,0),ROUND($E31*$I31*((1+$S$4)^3)/12*'W2'!$F$5,0))))))))</f>
        <v>0</v>
      </c>
      <c r="R31" s="187">
        <f>IF('W2'!$C$4='W2'!$D$4,(IF(AND($S$4="Multi",$R$4="FY"),ROUND(((1+$M31)^('W2'!$B$20+3)*'W2'!$G$9+(1+$M31)^('W2'!$B$20+4)*'W2'!$G$10)/12*'Subcontract 1'!$E31*'Subcontract 1'!$J31,0),(IF(AND($S$4="Multi",$R$4="PY"),ROUND($E31*$J31*((1+$M31)^4)/12*'W2'!$G$5,0),(IF(AND($S$4&lt;&gt;"Multi",$R$4="FY"),ROUND(((1+$S$4)^('W2'!$B$20+3)*'W2'!$G$9+(1+$S$4)^('W2'!$B$20+4)*'W2'!$G$10)/12*'Subcontract 1'!$E31*'Subcontract 1'!$J31,0),ROUND($E31*$J31*((1+$S$4)^4)/12*'W2'!$G$5,0))))))),(IF(AND($S$4="Multi",$R$4="FY"),ROUND(((1+$M31)^('W2'!$B$20+4)*'W2'!$G$9+(1+$M31)^('W2'!$B$20+5)*'W2'!$G$10)/12*'Subcontract 1'!$E31*'Subcontract 1'!$J31,0),(IF(AND($S$4="Multi",$R$4="PY"),ROUND($E31*$J31*((1+$M31)^4)/12*'W2'!$G$5,0),(IF(AND($S$4&lt;&gt;"Multi",$R$4="FY"),ROUND(((1+$S$4)^('W2'!$B$20+4)*'W2'!$G$9+(1+$S$4)^('W2'!$B$20+5)*'W2'!$G$10)/12*'Subcontract 1'!$E31*'Subcontract 1'!$J31,0),ROUND($E31*$J31*((1+$S$4)^4)/12*'W2'!$G$5,0))))))))</f>
        <v>0</v>
      </c>
      <c r="S31" s="188">
        <f t="shared" si="2"/>
        <v>0</v>
      </c>
      <c r="T31" s="246"/>
      <c r="U31" s="246"/>
      <c r="V31" s="246"/>
      <c r="W31" s="246"/>
      <c r="X31" s="246"/>
      <c r="Y31" s="247"/>
      <c r="Z31" s="247"/>
      <c r="AA31" s="247"/>
      <c r="AB31" s="247"/>
      <c r="AC31" s="24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x14ac:dyDescent="0.2">
      <c r="A32" s="360" t="s">
        <v>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189">
        <f>SUM(N8:N31)</f>
        <v>0</v>
      </c>
      <c r="O32" s="189">
        <f>SUM(O8:O31)</f>
        <v>0</v>
      </c>
      <c r="P32" s="189">
        <f t="shared" ref="P32:Q32" si="3">SUM(P8:P31)</f>
        <v>0</v>
      </c>
      <c r="Q32" s="189">
        <f t="shared" si="3"/>
        <v>0</v>
      </c>
      <c r="R32" s="189">
        <f>SUM(R8:R31)</f>
        <v>0</v>
      </c>
      <c r="S32" s="189">
        <f>SUM(S8:S31)</f>
        <v>0</v>
      </c>
      <c r="T32" s="249"/>
      <c r="U32" s="249"/>
      <c r="V32" s="249"/>
      <c r="W32" s="249"/>
      <c r="X32" s="249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9" customHeight="1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x14ac:dyDescent="0.2">
      <c r="A34" s="386" t="s">
        <v>17</v>
      </c>
      <c r="B34" s="387"/>
      <c r="C34" s="388"/>
      <c r="D34" s="285"/>
      <c r="E34" s="264" t="s">
        <v>18</v>
      </c>
      <c r="F34" s="389" t="s">
        <v>18</v>
      </c>
      <c r="G34" s="390"/>
      <c r="H34" s="389" t="s">
        <v>18</v>
      </c>
      <c r="I34" s="390"/>
      <c r="J34" s="389" t="s">
        <v>18</v>
      </c>
      <c r="K34" s="390"/>
      <c r="L34" s="389" t="s">
        <v>18</v>
      </c>
      <c r="M34" s="390"/>
      <c r="N34" s="50" t="str">
        <f>N5</f>
        <v>Period 1</v>
      </c>
      <c r="O34" s="50" t="str">
        <f>O5</f>
        <v>Period 2</v>
      </c>
      <c r="P34" s="50" t="str">
        <f>P5</f>
        <v>Period 3</v>
      </c>
      <c r="Q34" s="50" t="str">
        <f>Q5</f>
        <v>Period 4</v>
      </c>
      <c r="R34" s="50" t="str">
        <f>R5</f>
        <v>Period 5</v>
      </c>
      <c r="S34" s="50" t="s">
        <v>13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x14ac:dyDescent="0.2">
      <c r="A35" s="92">
        <v>1</v>
      </c>
      <c r="B35" s="381">
        <f t="shared" ref="B35:B58" si="4">B8</f>
        <v>0</v>
      </c>
      <c r="C35" s="382"/>
      <c r="D35" s="286"/>
      <c r="E35" s="265"/>
      <c r="F35" s="378"/>
      <c r="G35" s="379"/>
      <c r="H35" s="420"/>
      <c r="I35" s="421"/>
      <c r="J35" s="420"/>
      <c r="K35" s="421"/>
      <c r="L35" s="420"/>
      <c r="M35" s="421"/>
      <c r="N35" s="200">
        <f t="shared" ref="N35:O39" si="5">N8*E35</f>
        <v>0</v>
      </c>
      <c r="O35" s="200">
        <f t="shared" si="5"/>
        <v>0</v>
      </c>
      <c r="P35" s="187">
        <f>IF(P8=0,0,IF(AND($D35="F-SMRA",P8=0),0,IF(AND($D35="F-SMRB",P8=0),0,IF(AND($D35="F-SMRC",P8=0),0,IF($D35='W2'!$A$68,'W2'!F301,IF($D35='W2'!$A$69,'W2'!F301,IF($D35='W2'!$A$70,'W2'!F301,ROUND(('Subcontract 1'!P8/'W2'!$E$5*'W2'!$E$9*(IF('Subcontract 1'!$D35='W2'!$A$47,'W2'!F$47,IF('Subcontract 1'!$D35='W2'!$A$48,'W2'!F$48,IF('Subcontract 1'!$D35='W2'!$A$49,'W2'!F$49,IF('Subcontract 1'!$D35='W2'!$A$50,'W2'!F$50,IF('Subcontract 1'!$D35='W2'!$A$51,'W2'!F$51,IF('Subcontract 1'!$D35='W2'!$A$52,'W2'!F$52,IF('Subcontract 1'!$D35='W2'!$A$53,'W2'!F$53,IF('Subcontract 1'!$D35='W2'!$A$54,'W2'!F$54,IF('Subcontract 1'!$D35='W2'!$A$55,'W2'!F$55))))))))))),0)+ROUND(P8/'W2'!$E$5*'W2'!$E$10*(IF('Subcontract 1'!$D35='W2'!$A$47,'W2'!G$47,IF('Subcontract 1'!$D35='W2'!$A$48,'W2'!G$48,IF('Subcontract 1'!$D35='W2'!$A$49,'W2'!G$49,IF('Subcontract 1'!$D35='W2'!$A$50,'W2'!G$50,IF('Subcontract 1'!$D35='W2'!$A$51,'W2'!G$51,IF('Subcontract 1'!$D35='W2'!$A$52,'W2'!G$52,IF('Subcontract 1'!$D35='W2'!$A$53,'W2'!G$53,IF('Subcontract 1'!$D35='W2'!$A$54,'W2'!G$54,IF('Subcontract 1'!$D35='W2'!$A$55,'W2'!G$55)))))))))),0))))))))</f>
        <v>0</v>
      </c>
      <c r="Q35" s="187">
        <f>IF(Q8=0,0,IF(AND($D35="F-SMRA",Q8=0),0,IF(AND($D35="F-SMRB",Q8=0),0,IF(AND($D35="F-SMRC",Q8=0),0,IF($D35='W2'!$A$68,'W2'!H301,IF($D35='W2'!$A$69,'W2'!H301,IF($D35='W2'!$A$70,'W2'!H301,ROUND(('Subcontract 1'!Q8/'W2'!$F$5*'W2'!$F$9*(IF('Subcontract 1'!$D35='W2'!$A$47,'W2'!H$47,IF('Subcontract 1'!$D35='W2'!$A$48,'W2'!H$48,IF('Subcontract 1'!$D35='W2'!$A$49,'W2'!H$49,IF('Subcontract 1'!$D35='W2'!$A$50,'W2'!H$50,IF('Subcontract 1'!$D35='W2'!$A$51,'W2'!H$51,IF('Subcontract 1'!$D35='W2'!$A$52,'W2'!H$52,IF('Subcontract 1'!$D35='W2'!$A$53,'W2'!H$53,IF('Subcontract 1'!$D35='W2'!$A$54,'W2'!H$54,IF('Subcontract 1'!$D35='W2'!$A$55,'W2'!H$55))))))))))),0)+ROUND(Q8/'W2'!$F$5*'W2'!$F$10*(IF('Subcontract 1'!$D35='W2'!$A$47,'W2'!I$47,IF('Subcontract 1'!$D35='W2'!$A$48,'W2'!I$48,IF('Subcontract 1'!$D35='W2'!$A$49,'W2'!I$49,IF('Subcontract 1'!$D35='W2'!$A$50,'W2'!I$50,IF('Subcontract 1'!$D35='W2'!$A$51,'W2'!I$51,IF('Subcontract 1'!$D35='W2'!$A$52,'W2'!I$52,IF('Subcontract 1'!$D35='W2'!$A$53,'W2'!I$53,IF('Subcontract 1'!$D35='W2'!$A$54,'W2'!I$54,IF('Subcontract 1'!$D35='W2'!$A$55,'W2'!I$55)))))))))),0))))))))</f>
        <v>0</v>
      </c>
      <c r="R35" s="187">
        <f>IF(R8=0,0,IF(AND($D35="F-SMRA",R8=0),0,IF(AND($D35="F-SMRB",R8=0),0,IF(AND($D35="F-SMRC",R8=0),0,IF($D35='W2'!$A$68,'W2'!J301,IF($D35='W2'!$A$69,'W2'!J301,IF($D35='W2'!$A$70,'W2'!J301,ROUND(('Subcontract 1'!R8/'W2'!$G$5*'W2'!$G$9*(IF('Subcontract 1'!$D35='W2'!$A$47,'W2'!J$47,IF('Subcontract 1'!$D35='W2'!$A$48,'W2'!J$48,IF('Subcontract 1'!$D35='W2'!$A$49,'W2'!J$49,IF('Subcontract 1'!$D35='W2'!$A$50,'W2'!J$50,IF('Subcontract 1'!$D35='W2'!$A$51,'W2'!J$51,IF('Subcontract 1'!$D35='W2'!$A$52,'W2'!J$52,IF('Subcontract 1'!$D35='W2'!$A$53,'W2'!J$53,IF('Subcontract 1'!$D35='W2'!$A$54,'W2'!J$54,IF('Subcontract 1'!$D35='W2'!$A$55,'W2'!J$55))))))))))),0)+ROUND(R8/'W2'!$G$5*'W2'!$G$10*(IF('Subcontract 1'!$D35='W2'!$A$47,'W2'!K$47,IF('Subcontract 1'!$D35='W2'!$A$48,'W2'!K$48,IF('Subcontract 1'!$D35='W2'!$A$49,'W2'!K$49,IF('Subcontract 1'!$D35='W2'!$A$50,'W2'!K$50,IF('Subcontract 1'!$D35='W2'!$A$51,'W2'!K$51,IF('Subcontract 1'!$D35='W2'!$A$52,'W2'!K$52,IF('Subcontract 1'!$D35='W2'!$A$53,'W2'!K$53,IF('Subcontract 1'!$D35='W2'!$A$54,'W2'!K$54,IF('Subcontract 1'!$D35='W2'!$A$55,'W2'!K$55)))))))))),0))))))))</f>
        <v>0</v>
      </c>
      <c r="S35" s="187">
        <f>SUM(N35:R35)</f>
        <v>0</v>
      </c>
      <c r="T35" s="248"/>
      <c r="U35" s="248"/>
      <c r="V35" s="248"/>
      <c r="W35" s="248"/>
      <c r="X35" s="248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x14ac:dyDescent="0.2">
      <c r="A36" s="92">
        <v>2</v>
      </c>
      <c r="B36" s="381">
        <f t="shared" si="4"/>
        <v>0</v>
      </c>
      <c r="C36" s="382"/>
      <c r="D36" s="286"/>
      <c r="E36" s="265"/>
      <c r="F36" s="378"/>
      <c r="G36" s="379"/>
      <c r="H36" s="420"/>
      <c r="I36" s="421"/>
      <c r="J36" s="420"/>
      <c r="K36" s="421"/>
      <c r="L36" s="420"/>
      <c r="M36" s="421"/>
      <c r="N36" s="200">
        <f t="shared" si="5"/>
        <v>0</v>
      </c>
      <c r="O36" s="200">
        <f t="shared" si="5"/>
        <v>0</v>
      </c>
      <c r="P36" s="187">
        <f>IF(P9=0,0,IF(AND($D36="F-SMRA",P9=0),0,IF(AND($D36="F-SMRB",P9=0),0,IF(AND($D36="F-SMRC",P9=0),0,IF($D36='W2'!$A$68,'W2'!F302,IF($D36='W2'!$A$69,'W2'!F302,IF($D36='W2'!$A$70,'W2'!F302,ROUND(('Subcontract 1'!P9/'W2'!$E$5*'W2'!$E$9*(IF('Subcontract 1'!$D36='W2'!$A$47,'W2'!F$47,IF('Subcontract 1'!$D36='W2'!$A$48,'W2'!F$48,IF('Subcontract 1'!$D36='W2'!$A$49,'W2'!F$49,IF('Subcontract 1'!$D36='W2'!$A$50,'W2'!F$50,IF('Subcontract 1'!$D36='W2'!$A$51,'W2'!F$51,IF('Subcontract 1'!$D36='W2'!$A$52,'W2'!F$52,IF('Subcontract 1'!$D36='W2'!$A$53,'W2'!F$53,IF('Subcontract 1'!$D36='W2'!$A$54,'W2'!F$54,IF('Subcontract 1'!$D36='W2'!$A$55,'W2'!F$55))))))))))),0)+ROUND(P9/'W2'!$E$5*'W2'!$E$10*(IF('Subcontract 1'!$D36='W2'!$A$47,'W2'!G$47,IF('Subcontract 1'!$D36='W2'!$A$48,'W2'!G$48,IF('Subcontract 1'!$D36='W2'!$A$49,'W2'!G$49,IF('Subcontract 1'!$D36='W2'!$A$50,'W2'!G$50,IF('Subcontract 1'!$D36='W2'!$A$51,'W2'!G$51,IF('Subcontract 1'!$D36='W2'!$A$52,'W2'!G$52,IF('Subcontract 1'!$D36='W2'!$A$53,'W2'!G$53,IF('Subcontract 1'!$D36='W2'!$A$54,'W2'!G$54,IF('Subcontract 1'!$D36='W2'!$A$55,'W2'!G$55)))))))))),0))))))))</f>
        <v>0</v>
      </c>
      <c r="Q36" s="187">
        <f>IF(Q9=0,0,IF(AND($D36="F-SMRA",Q9=0),0,IF(AND($D36="F-SMRB",Q9=0),0,IF(AND($D36="F-SMRC",Q9=0),0,IF($D36='W2'!$A$68,'W2'!H302,IF($D36='W2'!$A$69,'W2'!H302,IF($D36='W2'!$A$70,'W2'!H302,ROUND(('Subcontract 1'!Q9/'W2'!$F$5*'W2'!$F$9*(IF('Subcontract 1'!$D36='W2'!$A$47,'W2'!H$47,IF('Subcontract 1'!$D36='W2'!$A$48,'W2'!H$48,IF('Subcontract 1'!$D36='W2'!$A$49,'W2'!H$49,IF('Subcontract 1'!$D36='W2'!$A$50,'W2'!H$50,IF('Subcontract 1'!$D36='W2'!$A$51,'W2'!H$51,IF('Subcontract 1'!$D36='W2'!$A$52,'W2'!H$52,IF('Subcontract 1'!$D36='W2'!$A$53,'W2'!H$53,IF('Subcontract 1'!$D36='W2'!$A$54,'W2'!H$54,IF('Subcontract 1'!$D36='W2'!$A$55,'W2'!H$55))))))))))),0)+ROUND(Q9/'W2'!$F$5*'W2'!$F$10*(IF('Subcontract 1'!$D36='W2'!$A$47,'W2'!I$47,IF('Subcontract 1'!$D36='W2'!$A$48,'W2'!I$48,IF('Subcontract 1'!$D36='W2'!$A$49,'W2'!I$49,IF('Subcontract 1'!$D36='W2'!$A$50,'W2'!I$50,IF('Subcontract 1'!$D36='W2'!$A$51,'W2'!I$51,IF('Subcontract 1'!$D36='W2'!$A$52,'W2'!I$52,IF('Subcontract 1'!$D36='W2'!$A$53,'W2'!I$53,IF('Subcontract 1'!$D36='W2'!$A$54,'W2'!I$54,IF('Subcontract 1'!$D36='W2'!$A$55,'W2'!I$55)))))))))),0))))))))</f>
        <v>0</v>
      </c>
      <c r="R36" s="187">
        <f>IF(R9=0,0,IF(AND($D36="F-SMRA",R9=0),0,IF(AND($D36="F-SMRB",R9=0),0,IF(AND($D36="F-SMRC",R9=0),0,IF($D36='W2'!$A$68,'W2'!J302,IF($D36='W2'!$A$69,'W2'!J302,IF($D36='W2'!$A$70,'W2'!J302,ROUND(('Subcontract 1'!R9/'W2'!$G$5*'W2'!$G$9*(IF('Subcontract 1'!$D36='W2'!$A$47,'W2'!J$47,IF('Subcontract 1'!$D36='W2'!$A$48,'W2'!J$48,IF('Subcontract 1'!$D36='W2'!$A$49,'W2'!J$49,IF('Subcontract 1'!$D36='W2'!$A$50,'W2'!J$50,IF('Subcontract 1'!$D36='W2'!$A$51,'W2'!J$51,IF('Subcontract 1'!$D36='W2'!$A$52,'W2'!J$52,IF('Subcontract 1'!$D36='W2'!$A$53,'W2'!J$53,IF('Subcontract 1'!$D36='W2'!$A$54,'W2'!J$54,IF('Subcontract 1'!$D36='W2'!$A$55,'W2'!J$55))))))))))),0)+ROUND(R9/'W2'!$G$5*'W2'!$G$10*(IF('Subcontract 1'!$D36='W2'!$A$47,'W2'!K$47,IF('Subcontract 1'!$D36='W2'!$A$48,'W2'!K$48,IF('Subcontract 1'!$D36='W2'!$A$49,'W2'!K$49,IF('Subcontract 1'!$D36='W2'!$A$50,'W2'!K$50,IF('Subcontract 1'!$D36='W2'!$A$51,'W2'!K$51,IF('Subcontract 1'!$D36='W2'!$A$52,'W2'!K$52,IF('Subcontract 1'!$D36='W2'!$A$53,'W2'!K$53,IF('Subcontract 1'!$D36='W2'!$A$54,'W2'!K$54,IF('Subcontract 1'!$D36='W2'!$A$55,'W2'!K$55)))))))))),0))))))))</f>
        <v>0</v>
      </c>
      <c r="S36" s="187">
        <f t="shared" ref="S36:S58" si="6">SUM(N36:R36)</f>
        <v>0</v>
      </c>
      <c r="T36" s="248"/>
      <c r="U36" s="248"/>
      <c r="V36" s="248"/>
      <c r="W36" s="248"/>
      <c r="X36" s="248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x14ac:dyDescent="0.2">
      <c r="A37" s="92">
        <v>3</v>
      </c>
      <c r="B37" s="381">
        <f t="shared" si="4"/>
        <v>0</v>
      </c>
      <c r="C37" s="382"/>
      <c r="D37" s="286"/>
      <c r="E37" s="265"/>
      <c r="F37" s="378"/>
      <c r="G37" s="379"/>
      <c r="H37" s="420"/>
      <c r="I37" s="421"/>
      <c r="J37" s="420"/>
      <c r="K37" s="421"/>
      <c r="L37" s="420"/>
      <c r="M37" s="421"/>
      <c r="N37" s="200">
        <f t="shared" si="5"/>
        <v>0</v>
      </c>
      <c r="O37" s="200">
        <f t="shared" si="5"/>
        <v>0</v>
      </c>
      <c r="P37" s="187">
        <f>IF(P10=0,0,IF(AND($D37="F-SMRA",P10=0),0,IF(AND($D37="F-SMRB",P10=0),0,IF(AND($D37="F-SMRC",P10=0),0,IF($D37='W2'!$A$68,'W2'!F303,IF($D37='W2'!$A$69,'W2'!F303,IF($D37='W2'!$A$70,'W2'!F303,ROUND(('Subcontract 1'!P10/'W2'!$E$5*'W2'!$E$9*(IF('Subcontract 1'!$D37='W2'!$A$47,'W2'!F$47,IF('Subcontract 1'!$D37='W2'!$A$48,'W2'!F$48,IF('Subcontract 1'!$D37='W2'!$A$49,'W2'!F$49,IF('Subcontract 1'!$D37='W2'!$A$50,'W2'!F$50,IF('Subcontract 1'!$D37='W2'!$A$51,'W2'!F$51,IF('Subcontract 1'!$D37='W2'!$A$52,'W2'!F$52,IF('Subcontract 1'!$D37='W2'!$A$53,'W2'!F$53,IF('Subcontract 1'!$D37='W2'!$A$54,'W2'!F$54,IF('Subcontract 1'!$D37='W2'!$A$55,'W2'!F$55))))))))))),0)+ROUND(P10/'W2'!$E$5*'W2'!$E$10*(IF('Subcontract 1'!$D37='W2'!$A$47,'W2'!G$47,IF('Subcontract 1'!$D37='W2'!$A$48,'W2'!G$48,IF('Subcontract 1'!$D37='W2'!$A$49,'W2'!G$49,IF('Subcontract 1'!$D37='W2'!$A$50,'W2'!G$50,IF('Subcontract 1'!$D37='W2'!$A$51,'W2'!G$51,IF('Subcontract 1'!$D37='W2'!$A$52,'W2'!G$52,IF('Subcontract 1'!$D37='W2'!$A$53,'W2'!G$53,IF('Subcontract 1'!$D37='W2'!$A$54,'W2'!G$54,IF('Subcontract 1'!$D37='W2'!$A$55,'W2'!G$55)))))))))),0))))))))</f>
        <v>0</v>
      </c>
      <c r="Q37" s="187">
        <f>IF(Q10=0,0,IF(AND($D37="F-SMRA",Q10=0),0,IF(AND($D37="F-SMRB",Q10=0),0,IF(AND($D37="F-SMRC",Q10=0),0,IF($D37='W2'!$A$68,'W2'!H303,IF($D37='W2'!$A$69,'W2'!H303,IF($D37='W2'!$A$70,'W2'!H303,ROUND(('Subcontract 1'!Q10/'W2'!$F$5*'W2'!$F$9*(IF('Subcontract 1'!$D37='W2'!$A$47,'W2'!H$47,IF('Subcontract 1'!$D37='W2'!$A$48,'W2'!H$48,IF('Subcontract 1'!$D37='W2'!$A$49,'W2'!H$49,IF('Subcontract 1'!$D37='W2'!$A$50,'W2'!H$50,IF('Subcontract 1'!$D37='W2'!$A$51,'W2'!H$51,IF('Subcontract 1'!$D37='W2'!$A$52,'W2'!H$52,IF('Subcontract 1'!$D37='W2'!$A$53,'W2'!H$53,IF('Subcontract 1'!$D37='W2'!$A$54,'W2'!H$54,IF('Subcontract 1'!$D37='W2'!$A$55,'W2'!H$55))))))))))),0)+ROUND(Q10/'W2'!$F$5*'W2'!$F$10*(IF('Subcontract 1'!$D37='W2'!$A$47,'W2'!I$47,IF('Subcontract 1'!$D37='W2'!$A$48,'W2'!I$48,IF('Subcontract 1'!$D37='W2'!$A$49,'W2'!I$49,IF('Subcontract 1'!$D37='W2'!$A$50,'W2'!I$50,IF('Subcontract 1'!$D37='W2'!$A$51,'W2'!I$51,IF('Subcontract 1'!$D37='W2'!$A$52,'W2'!I$52,IF('Subcontract 1'!$D37='W2'!$A$53,'W2'!I$53,IF('Subcontract 1'!$D37='W2'!$A$54,'W2'!I$54,IF('Subcontract 1'!$D37='W2'!$A$55,'W2'!I$55)))))))))),0))))))))</f>
        <v>0</v>
      </c>
      <c r="R37" s="187">
        <f>IF(R10=0,0,IF(AND($D37="F-SMRA",R10=0),0,IF(AND($D37="F-SMRB",R10=0),0,IF(AND($D37="F-SMRC",R10=0),0,IF($D37='W2'!$A$68,'W2'!J303,IF($D37='W2'!$A$69,'W2'!J303,IF($D37='W2'!$A$70,'W2'!J303,ROUND(('Subcontract 1'!R10/'W2'!$G$5*'W2'!$G$9*(IF('Subcontract 1'!$D37='W2'!$A$47,'W2'!J$47,IF('Subcontract 1'!$D37='W2'!$A$48,'W2'!J$48,IF('Subcontract 1'!$D37='W2'!$A$49,'W2'!J$49,IF('Subcontract 1'!$D37='W2'!$A$50,'W2'!J$50,IF('Subcontract 1'!$D37='W2'!$A$51,'W2'!J$51,IF('Subcontract 1'!$D37='W2'!$A$52,'W2'!J$52,IF('Subcontract 1'!$D37='W2'!$A$53,'W2'!J$53,IF('Subcontract 1'!$D37='W2'!$A$54,'W2'!J$54,IF('Subcontract 1'!$D37='W2'!$A$55,'W2'!J$55))))))))))),0)+ROUND(R10/'W2'!$G$5*'W2'!$G$10*(IF('Subcontract 1'!$D37='W2'!$A$47,'W2'!K$47,IF('Subcontract 1'!$D37='W2'!$A$48,'W2'!K$48,IF('Subcontract 1'!$D37='W2'!$A$49,'W2'!K$49,IF('Subcontract 1'!$D37='W2'!$A$50,'W2'!K$50,IF('Subcontract 1'!$D37='W2'!$A$51,'W2'!K$51,IF('Subcontract 1'!$D37='W2'!$A$52,'W2'!K$52,IF('Subcontract 1'!$D37='W2'!$A$53,'W2'!K$53,IF('Subcontract 1'!$D37='W2'!$A$54,'W2'!K$54,IF('Subcontract 1'!$D37='W2'!$A$55,'W2'!K$55)))))))))),0))))))))</f>
        <v>0</v>
      </c>
      <c r="S37" s="187">
        <f t="shared" si="6"/>
        <v>0</v>
      </c>
      <c r="T37" s="248"/>
      <c r="U37" s="248"/>
      <c r="V37" s="248"/>
      <c r="W37" s="248"/>
      <c r="X37" s="248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x14ac:dyDescent="0.2">
      <c r="A38" s="92">
        <v>4</v>
      </c>
      <c r="B38" s="381">
        <f t="shared" si="4"/>
        <v>0</v>
      </c>
      <c r="C38" s="382"/>
      <c r="D38" s="286"/>
      <c r="E38" s="265"/>
      <c r="F38" s="378"/>
      <c r="G38" s="379"/>
      <c r="H38" s="420"/>
      <c r="I38" s="421"/>
      <c r="J38" s="420"/>
      <c r="K38" s="421"/>
      <c r="L38" s="420"/>
      <c r="M38" s="421"/>
      <c r="N38" s="200">
        <f t="shared" si="5"/>
        <v>0</v>
      </c>
      <c r="O38" s="200">
        <f t="shared" si="5"/>
        <v>0</v>
      </c>
      <c r="P38" s="187">
        <f>IF(P11=0,0,IF(AND($D38="F-SMRA",P11=0),0,IF(AND($D38="F-SMRB",P11=0),0,IF(AND($D38="F-SMRC",P11=0),0,IF($D38='W2'!$A$68,'W2'!F304,IF($D38='W2'!$A$69,'W2'!F304,IF($D38='W2'!$A$70,'W2'!F304,ROUND(('Subcontract 1'!P11/'W2'!$E$5*'W2'!$E$9*(IF('Subcontract 1'!$D38='W2'!$A$47,'W2'!F$47,IF('Subcontract 1'!$D38='W2'!$A$48,'W2'!F$48,IF('Subcontract 1'!$D38='W2'!$A$49,'W2'!F$49,IF('Subcontract 1'!$D38='W2'!$A$50,'W2'!F$50,IF('Subcontract 1'!$D38='W2'!$A$51,'W2'!F$51,IF('Subcontract 1'!$D38='W2'!$A$52,'W2'!F$52,IF('Subcontract 1'!$D38='W2'!$A$53,'W2'!F$53,IF('Subcontract 1'!$D38='W2'!$A$54,'W2'!F$54,IF('Subcontract 1'!$D38='W2'!$A$55,'W2'!F$55))))))))))),0)+ROUND(P11/'W2'!$E$5*'W2'!$E$10*(IF('Subcontract 1'!$D38='W2'!$A$47,'W2'!G$47,IF('Subcontract 1'!$D38='W2'!$A$48,'W2'!G$48,IF('Subcontract 1'!$D38='W2'!$A$49,'W2'!G$49,IF('Subcontract 1'!$D38='W2'!$A$50,'W2'!G$50,IF('Subcontract 1'!$D38='W2'!$A$51,'W2'!G$51,IF('Subcontract 1'!$D38='W2'!$A$52,'W2'!G$52,IF('Subcontract 1'!$D38='W2'!$A$53,'W2'!G$53,IF('Subcontract 1'!$D38='W2'!$A$54,'W2'!G$54,IF('Subcontract 1'!$D38='W2'!$A$55,'W2'!G$55)))))))))),0))))))))</f>
        <v>0</v>
      </c>
      <c r="Q38" s="187">
        <f>IF(Q11=0,0,IF(AND($D38="F-SMRA",Q11=0),0,IF(AND($D38="F-SMRB",Q11=0),0,IF(AND($D38="F-SMRC",Q11=0),0,IF($D38='W2'!$A$68,'W2'!H304,IF($D38='W2'!$A$69,'W2'!H304,IF($D38='W2'!$A$70,'W2'!H304,ROUND(('Subcontract 1'!Q11/'W2'!$F$5*'W2'!$F$9*(IF('Subcontract 1'!$D38='W2'!$A$47,'W2'!H$47,IF('Subcontract 1'!$D38='W2'!$A$48,'W2'!H$48,IF('Subcontract 1'!$D38='W2'!$A$49,'W2'!H$49,IF('Subcontract 1'!$D38='W2'!$A$50,'W2'!H$50,IF('Subcontract 1'!$D38='W2'!$A$51,'W2'!H$51,IF('Subcontract 1'!$D38='W2'!$A$52,'W2'!H$52,IF('Subcontract 1'!$D38='W2'!$A$53,'W2'!H$53,IF('Subcontract 1'!$D38='W2'!$A$54,'W2'!H$54,IF('Subcontract 1'!$D38='W2'!$A$55,'W2'!H$55))))))))))),0)+ROUND(Q11/'W2'!$F$5*'W2'!$F$10*(IF('Subcontract 1'!$D38='W2'!$A$47,'W2'!I$47,IF('Subcontract 1'!$D38='W2'!$A$48,'W2'!I$48,IF('Subcontract 1'!$D38='W2'!$A$49,'W2'!I$49,IF('Subcontract 1'!$D38='W2'!$A$50,'W2'!I$50,IF('Subcontract 1'!$D38='W2'!$A$51,'W2'!I$51,IF('Subcontract 1'!$D38='W2'!$A$52,'W2'!I$52,IF('Subcontract 1'!$D38='W2'!$A$53,'W2'!I$53,IF('Subcontract 1'!$D38='W2'!$A$54,'W2'!I$54,IF('Subcontract 1'!$D38='W2'!$A$55,'W2'!I$55)))))))))),0))))))))</f>
        <v>0</v>
      </c>
      <c r="R38" s="187">
        <f>IF(R11=0,0,IF(AND($D38="F-SMRA",R11=0),0,IF(AND($D38="F-SMRB",R11=0),0,IF(AND($D38="F-SMRC",R11=0),0,IF($D38='W2'!$A$68,'W2'!J304,IF($D38='W2'!$A$69,'W2'!J304,IF($D38='W2'!$A$70,'W2'!J304,ROUND(('Subcontract 1'!R11/'W2'!$G$5*'W2'!$G$9*(IF('Subcontract 1'!$D38='W2'!$A$47,'W2'!J$47,IF('Subcontract 1'!$D38='W2'!$A$48,'W2'!J$48,IF('Subcontract 1'!$D38='W2'!$A$49,'W2'!J$49,IF('Subcontract 1'!$D38='W2'!$A$50,'W2'!J$50,IF('Subcontract 1'!$D38='W2'!$A$51,'W2'!J$51,IF('Subcontract 1'!$D38='W2'!$A$52,'W2'!J$52,IF('Subcontract 1'!$D38='W2'!$A$53,'W2'!J$53,IF('Subcontract 1'!$D38='W2'!$A$54,'W2'!J$54,IF('Subcontract 1'!$D38='W2'!$A$55,'W2'!J$55))))))))))),0)+ROUND(R11/'W2'!$G$5*'W2'!$G$10*(IF('Subcontract 1'!$D38='W2'!$A$47,'W2'!K$47,IF('Subcontract 1'!$D38='W2'!$A$48,'W2'!K$48,IF('Subcontract 1'!$D38='W2'!$A$49,'W2'!K$49,IF('Subcontract 1'!$D38='W2'!$A$50,'W2'!K$50,IF('Subcontract 1'!$D38='W2'!$A$51,'W2'!K$51,IF('Subcontract 1'!$D38='W2'!$A$52,'W2'!K$52,IF('Subcontract 1'!$D38='W2'!$A$53,'W2'!K$53,IF('Subcontract 1'!$D38='W2'!$A$54,'W2'!K$54,IF('Subcontract 1'!$D38='W2'!$A$55,'W2'!K$55)))))))))),0))))))))</f>
        <v>0</v>
      </c>
      <c r="S38" s="187">
        <f t="shared" si="6"/>
        <v>0</v>
      </c>
      <c r="T38" s="248"/>
      <c r="U38" s="248"/>
      <c r="V38" s="248"/>
      <c r="W38" s="248"/>
      <c r="X38" s="248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x14ac:dyDescent="0.2">
      <c r="A39" s="92">
        <v>5</v>
      </c>
      <c r="B39" s="381">
        <f t="shared" si="4"/>
        <v>0</v>
      </c>
      <c r="C39" s="382"/>
      <c r="D39" s="286"/>
      <c r="E39" s="265"/>
      <c r="F39" s="378"/>
      <c r="G39" s="379"/>
      <c r="H39" s="420"/>
      <c r="I39" s="421"/>
      <c r="J39" s="420"/>
      <c r="K39" s="421"/>
      <c r="L39" s="420"/>
      <c r="M39" s="421"/>
      <c r="N39" s="200">
        <f t="shared" si="5"/>
        <v>0</v>
      </c>
      <c r="O39" s="200">
        <f t="shared" si="5"/>
        <v>0</v>
      </c>
      <c r="P39" s="187">
        <f>IF(P12=0,0,IF(AND($D39="F-SMRA",P12=0),0,IF(AND($D39="F-SMRB",P12=0),0,IF(AND($D39="F-SMRC",P12=0),0,IF($D39='W2'!$A$68,'W2'!F305,IF($D39='W2'!$A$69,'W2'!F305,IF($D39='W2'!$A$70,'W2'!F305,ROUND(('Subcontract 1'!P12/'W2'!$E$5*'W2'!$E$9*(IF('Subcontract 1'!$D39='W2'!$A$47,'W2'!F$47,IF('Subcontract 1'!$D39='W2'!$A$48,'W2'!F$48,IF('Subcontract 1'!$D39='W2'!$A$49,'W2'!F$49,IF('Subcontract 1'!$D39='W2'!$A$50,'W2'!F$50,IF('Subcontract 1'!$D39='W2'!$A$51,'W2'!F$51,IF('Subcontract 1'!$D39='W2'!$A$52,'W2'!F$52,IF('Subcontract 1'!$D39='W2'!$A$53,'W2'!F$53,IF('Subcontract 1'!$D39='W2'!$A$54,'W2'!F$54,IF('Subcontract 1'!$D39='W2'!$A$55,'W2'!F$55))))))))))),0)+ROUND(P12/'W2'!$E$5*'W2'!$E$10*(IF('Subcontract 1'!$D39='W2'!$A$47,'W2'!G$47,IF('Subcontract 1'!$D39='W2'!$A$48,'W2'!G$48,IF('Subcontract 1'!$D39='W2'!$A$49,'W2'!G$49,IF('Subcontract 1'!$D39='W2'!$A$50,'W2'!G$50,IF('Subcontract 1'!$D39='W2'!$A$51,'W2'!G$51,IF('Subcontract 1'!$D39='W2'!$A$52,'W2'!G$52,IF('Subcontract 1'!$D39='W2'!$A$53,'W2'!G$53,IF('Subcontract 1'!$D39='W2'!$A$54,'W2'!G$54,IF('Subcontract 1'!$D39='W2'!$A$55,'W2'!G$55)))))))))),0))))))))</f>
        <v>0</v>
      </c>
      <c r="Q39" s="187">
        <f>IF(Q12=0,0,IF(AND($D39="F-SMRA",Q12=0),0,IF(AND($D39="F-SMRB",Q12=0),0,IF(AND($D39="F-SMRC",Q12=0),0,IF($D39='W2'!$A$68,'W2'!H305,IF($D39='W2'!$A$69,'W2'!H305,IF($D39='W2'!$A$70,'W2'!H305,ROUND(('Subcontract 1'!Q12/'W2'!$F$5*'W2'!$F$9*(IF('Subcontract 1'!$D39='W2'!$A$47,'W2'!H$47,IF('Subcontract 1'!$D39='W2'!$A$48,'W2'!H$48,IF('Subcontract 1'!$D39='W2'!$A$49,'W2'!H$49,IF('Subcontract 1'!$D39='W2'!$A$50,'W2'!H$50,IF('Subcontract 1'!$D39='W2'!$A$51,'W2'!H$51,IF('Subcontract 1'!$D39='W2'!$A$52,'W2'!H$52,IF('Subcontract 1'!$D39='W2'!$A$53,'W2'!H$53,IF('Subcontract 1'!$D39='W2'!$A$54,'W2'!H$54,IF('Subcontract 1'!$D39='W2'!$A$55,'W2'!H$55))))))))))),0)+ROUND(Q12/'W2'!$F$5*'W2'!$F$10*(IF('Subcontract 1'!$D39='W2'!$A$47,'W2'!I$47,IF('Subcontract 1'!$D39='W2'!$A$48,'W2'!I$48,IF('Subcontract 1'!$D39='W2'!$A$49,'W2'!I$49,IF('Subcontract 1'!$D39='W2'!$A$50,'W2'!I$50,IF('Subcontract 1'!$D39='W2'!$A$51,'W2'!I$51,IF('Subcontract 1'!$D39='W2'!$A$52,'W2'!I$52,IF('Subcontract 1'!$D39='W2'!$A$53,'W2'!I$53,IF('Subcontract 1'!$D39='W2'!$A$54,'W2'!I$54,IF('Subcontract 1'!$D39='W2'!$A$55,'W2'!I$55)))))))))),0))))))))</f>
        <v>0</v>
      </c>
      <c r="R39" s="187">
        <f>IF(R12=0,0,IF(AND($D39="F-SMRA",R12=0),0,IF(AND($D39="F-SMRB",R12=0),0,IF(AND($D39="F-SMRC",R12=0),0,IF($D39='W2'!$A$68,'W2'!J305,IF($D39='W2'!$A$69,'W2'!J305,IF($D39='W2'!$A$70,'W2'!J305,ROUND(('Subcontract 1'!R12/'W2'!$G$5*'W2'!$G$9*(IF('Subcontract 1'!$D39='W2'!$A$47,'W2'!J$47,IF('Subcontract 1'!$D39='W2'!$A$48,'W2'!J$48,IF('Subcontract 1'!$D39='W2'!$A$49,'W2'!J$49,IF('Subcontract 1'!$D39='W2'!$A$50,'W2'!J$50,IF('Subcontract 1'!$D39='W2'!$A$51,'W2'!J$51,IF('Subcontract 1'!$D39='W2'!$A$52,'W2'!J$52,IF('Subcontract 1'!$D39='W2'!$A$53,'W2'!J$53,IF('Subcontract 1'!$D39='W2'!$A$54,'W2'!J$54,IF('Subcontract 1'!$D39='W2'!$A$55,'W2'!J$55))))))))))),0)+ROUND(R12/'W2'!$G$5*'W2'!$G$10*(IF('Subcontract 1'!$D39='W2'!$A$47,'W2'!K$47,IF('Subcontract 1'!$D39='W2'!$A$48,'W2'!K$48,IF('Subcontract 1'!$D39='W2'!$A$49,'W2'!K$49,IF('Subcontract 1'!$D39='W2'!$A$50,'W2'!K$50,IF('Subcontract 1'!$D39='W2'!$A$51,'W2'!K$51,IF('Subcontract 1'!$D39='W2'!$A$52,'W2'!K$52,IF('Subcontract 1'!$D39='W2'!$A$53,'W2'!K$53,IF('Subcontract 1'!$D39='W2'!$A$54,'W2'!K$54,IF('Subcontract 1'!$D39='W2'!$A$55,'W2'!K$55)))))))))),0))))))))</f>
        <v>0</v>
      </c>
      <c r="S39" s="187">
        <f t="shared" si="6"/>
        <v>0</v>
      </c>
      <c r="T39" s="248"/>
      <c r="U39" s="248"/>
      <c r="V39" s="248"/>
      <c r="W39" s="248"/>
      <c r="X39" s="248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hidden="1" x14ac:dyDescent="0.2">
      <c r="A40" s="92">
        <v>6</v>
      </c>
      <c r="B40" s="381">
        <f t="shared" si="4"/>
        <v>0</v>
      </c>
      <c r="C40" s="382"/>
      <c r="D40" s="199" t="s">
        <v>52</v>
      </c>
      <c r="E40" s="265" t="str">
        <f>IF($D40='W2'!$A$59,'W2'!B$59,IF($D40='W2'!$A$60,'W2'!B$60,IF($D40='W2'!$A$61,'W2'!B$61,IF($D40='W2'!$A$62,'W2'!B$62,IF($D40='W2'!$A$63,'W2'!B$63,IF($D40='W2'!$A$64,'W2'!B$64,IF($D40='W2'!$A$65,'W2'!B$65,IF($D40='W2'!$A$66,'W2'!B$66,IF($D40='W2'!$A$67,'W2'!B$67,IF($D40='W2'!$A$68,'W2'!B280,IF($D40='W2'!$A$69,'W2'!B280,IF($D40='W2'!$A$70,'W2'!B280,IF($D40='W2'!$A$71,"")))))))))))))</f>
        <v/>
      </c>
      <c r="F40" s="378" t="str">
        <f>IF($D40='W2'!$A$59,'W2'!C$59,IF($D40='W2'!$A$60,'W2'!C$60,IF($D40='W2'!$A$61,'W2'!C$61,IF($D40='W2'!$A$62,'W2'!C$62,IF($D40='W2'!$A$63,'W2'!C$63,IF($D40='W2'!$A$64,'W2'!C$64,IF($D40='W2'!$A$65,'W2'!C$65,IF($D40='W2'!$A$66,'W2'!C$66,IF($D40='W2'!$A$67,'W2'!C$67,IF($D40='W2'!$A$68,'W2'!D280,IF($D40='W2'!$A$69,'W2'!D280,IF($D40='W2'!$A$70,'W2'!D280,IF($D40='W2'!$A$71,"")))))))))))))</f>
        <v/>
      </c>
      <c r="G40" s="379"/>
      <c r="H40" s="366" t="str">
        <f>IF($D40='W2'!$A$59,'W2'!D$59,IF($D40='W2'!$A$60,'W2'!D$60,IF($D40='W2'!$A$61,'W2'!D$61,IF($D40='W2'!$A$62,'W2'!D$62,IF($D40='W2'!$A$63,'W2'!D$63,IF($D40='W2'!$A$64,'W2'!D$64,IF($D40='W2'!$A$65,'W2'!D$65,IF($D40='W2'!$A$66,'W2'!D$66,IF($D40='W2'!$A$67,'W2'!D$67,IF($D40='W2'!$A$68,'W2'!F280,IF($D40='W2'!$A$69,'W2'!F280,IF($D40='W2'!$A$70,'W2'!F280,IF($D40='W2'!$A$71,"")))))))))))))</f>
        <v/>
      </c>
      <c r="I40" s="367"/>
      <c r="J40" s="366" t="str">
        <f>IF($D40='W2'!$A$59,'W2'!E$59,IF($D40='W2'!$A$60,'W2'!E$60,IF($D40='W2'!$A$61,'W2'!E$61,IF($D40='W2'!$A$62,'W2'!E$62,IF($D40='W2'!$A$63,'W2'!E$63,IF($D40='W2'!$A$64,'W2'!E$64,IF($D40='W2'!$A$65,'W2'!E$65,IF($D40='W2'!$A$66,'W2'!E$66,IF($D40='W2'!$A$67,'W2'!E$67,IF($D40='W2'!$A$68,'W2'!H280,IF($D40='W2'!$A$69,'W2'!H280,IF($D40='W2'!$A$70,'W2'!H280,IF($D40='W2'!$A$71,"")))))))))))))</f>
        <v/>
      </c>
      <c r="K40" s="367"/>
      <c r="L40" s="366" t="str">
        <f>IF($D40='W2'!$A$59,'W2'!F$59,IF($D40='W2'!$A$60,'W2'!F$60,IF($D40='W2'!$A$61,'W2'!F$61,IF($D40='W2'!$A$62,'W2'!F$62,IF($D40='W2'!$A$63,'W2'!F$63,IF($D40='W2'!$A$64,'W2'!F$64,IF($D40='W2'!$A$65,'W2'!F$65,IF($D40='W2'!$A$66,'W2'!F$66,IF($D40='W2'!$A$67,'W2'!F$67,IF($D40='W2'!$A$68,'W2'!J280,IF($D40='W2'!$A$69,'W2'!J280,IF($D40='W2'!$A$70,'W2'!J280,IF($D40='W2'!$A$71,"")))))))))))))</f>
        <v/>
      </c>
      <c r="M40" s="367"/>
      <c r="N40" s="187">
        <f>IF(N13=0,0,IF(AND($D40="F-SMRA",N13=0),0,IF(AND($D40="F-SMRB",N13=0),0,IF(AND($D40="F-SMRC",N13=0),0,IF($D40='W2'!$A$68,'W2'!B306,IF($D40='W2'!$A$69,'W2'!B306,IF($D40='W2'!$A$70,'W2'!B306,ROUND(('Subcontract 1'!N13/'W2'!$C$5*'W2'!$C$9*(IF('Subcontract 1'!$D40='W2'!$A$47,'W2'!B$47,IF('Subcontract 1'!$D40='W2'!$A$48,'W2'!B$48,IF('Subcontract 1'!$D40='W2'!$A$49,'W2'!B$49,IF('Subcontract 1'!$D40='W2'!$A$50,'W2'!B$50,IF('Subcontract 1'!$D40='W2'!$A$51,'W2'!B$51,IF('Subcontract 1'!$D40='W2'!$A$52,'W2'!B$52,IF('Subcontract 1'!$D40='W2'!$A$53,'W2'!B$53,IF('Subcontract 1'!$D40='W2'!$A$54,'W2'!B$54,IF('Subcontract 1'!$D40='W2'!$A$55,'W2'!B$55))))))))))),0)+ROUND(N13/'W2'!$C$5*'W2'!$C$10*(IF('Subcontract 1'!$D40='W2'!$A$47,'W2'!C$47,IF('Subcontract 1'!$D40='W2'!$A$48,'W2'!C$48,IF('Subcontract 1'!$D40='W2'!$A$49,'W2'!C$49,IF('Subcontract 1'!$D40='W2'!$A$50,'W2'!C$50,IF('Subcontract 1'!$D40='W2'!$A$51,'W2'!C$51,IF('Subcontract 1'!$D40='W2'!$A$52,'W2'!C$52,IF('Subcontract 1'!$D40='W2'!$A$53,'W2'!C$53,IF('Subcontract 1'!$D40='W2'!$A$54,'W2'!C$54,IF('Subcontract 1'!$D40='W2'!$A$55,'W2'!C$55)))))))))),0))))))))</f>
        <v>0</v>
      </c>
      <c r="O40" s="187">
        <f>IF(O13=0,0,IF(AND($D40="F-SMRA",O13=0),0,IF(AND($D40="F-SMRB",O13=0),0,IF(AND($D40="F-SMRC",O13=0),0,IF($D40='W2'!$A$68,'W2'!D306,IF($D40='W2'!$A$69,'W2'!D306,IF($D40='W2'!$A$70,'W2'!D306,ROUND(('Subcontract 1'!O13/'W2'!$D$5*'W2'!$D$9*(IF('Subcontract 1'!$D40='W2'!$A$47,'W2'!D$47,IF('Subcontract 1'!$D40='W2'!$A$48,'W2'!D$48,IF('Subcontract 1'!$D40='W2'!$A$49,'W2'!D$49,IF('Subcontract 1'!$D40='W2'!$A$50,'W2'!D$50,IF('Subcontract 1'!$D40='W2'!$A$51,'W2'!D$51,IF('Subcontract 1'!$D40='W2'!$A$52,'W2'!D$52,IF('Subcontract 1'!$D40='W2'!$A$53,'W2'!D$53,IF('Subcontract 1'!$D40='W2'!$A$54,'W2'!D$54,IF('Subcontract 1'!$D40='W2'!$A$55,'W2'!D$55))))))))))),0)+ROUND(O13/'W2'!$D$5*'W2'!$D$10*(IF('Subcontract 1'!$D40='W2'!$A$47,'W2'!E$47,IF('Subcontract 1'!$D40='W2'!$A$48,'W2'!E$48,IF('Subcontract 1'!$D40='W2'!$A$49,'W2'!E$49,IF('Subcontract 1'!$D40='W2'!$A$50,'W2'!E$50,IF('Subcontract 1'!$D40='W2'!$A$51,'W2'!E$51,IF('Subcontract 1'!$D40='W2'!$A$52,'W2'!E$52,IF('Subcontract 1'!$D40='W2'!$A$53,'W2'!E$53,IF('Subcontract 1'!$D40='W2'!$A$54,'W2'!E$54,IF('Subcontract 1'!$D40='W2'!$A$55,'W2'!E$55)))))))))),0))))))))</f>
        <v>0</v>
      </c>
      <c r="P40" s="187">
        <f>IF(P13=0,0,IF(AND($D40="F-SMRA",P13=0),0,IF(AND($D40="F-SMRB",P13=0),0,IF(AND($D40="F-SMRC",P13=0),0,IF($D40='W2'!$A$68,'W2'!F306,IF($D40='W2'!$A$69,'W2'!F306,IF($D40='W2'!$A$70,'W2'!F306,ROUND(('Subcontract 1'!P13/'W2'!$E$5*'W2'!$E$9*(IF('Subcontract 1'!$D40='W2'!$A$47,'W2'!F$47,IF('Subcontract 1'!$D40='W2'!$A$48,'W2'!F$48,IF('Subcontract 1'!$D40='W2'!$A$49,'W2'!F$49,IF('Subcontract 1'!$D40='W2'!$A$50,'W2'!F$50,IF('Subcontract 1'!$D40='W2'!$A$51,'W2'!F$51,IF('Subcontract 1'!$D40='W2'!$A$52,'W2'!F$52,IF('Subcontract 1'!$D40='W2'!$A$53,'W2'!F$53,IF('Subcontract 1'!$D40='W2'!$A$54,'W2'!F$54,IF('Subcontract 1'!$D40='W2'!$A$55,'W2'!F$55))))))))))),0)+ROUND(P13/'W2'!$E$5*'W2'!$E$10*(IF('Subcontract 1'!$D40='W2'!$A$47,'W2'!G$47,IF('Subcontract 1'!$D40='W2'!$A$48,'W2'!G$48,IF('Subcontract 1'!$D40='W2'!$A$49,'W2'!G$49,IF('Subcontract 1'!$D40='W2'!$A$50,'W2'!G$50,IF('Subcontract 1'!$D40='W2'!$A$51,'W2'!G$51,IF('Subcontract 1'!$D40='W2'!$A$52,'W2'!G$52,IF('Subcontract 1'!$D40='W2'!$A$53,'W2'!G$53,IF('Subcontract 1'!$D40='W2'!$A$54,'W2'!G$54,IF('Subcontract 1'!$D40='W2'!$A$55,'W2'!G$55)))))))))),0))))))))</f>
        <v>0</v>
      </c>
      <c r="Q40" s="187">
        <f>IF(Q13=0,0,IF(AND($D40="F-SMRA",Q13=0),0,IF(AND($D40="F-SMRB",Q13=0),0,IF(AND($D40="F-SMRC",Q13=0),0,IF($D40='W2'!$A$68,'W2'!H306,IF($D40='W2'!$A$69,'W2'!H306,IF($D40='W2'!$A$70,'W2'!H306,ROUND(('Subcontract 1'!Q13/'W2'!$F$5*'W2'!$F$9*(IF('Subcontract 1'!$D40='W2'!$A$47,'W2'!H$47,IF('Subcontract 1'!$D40='W2'!$A$48,'W2'!H$48,IF('Subcontract 1'!$D40='W2'!$A$49,'W2'!H$49,IF('Subcontract 1'!$D40='W2'!$A$50,'W2'!H$50,IF('Subcontract 1'!$D40='W2'!$A$51,'W2'!H$51,IF('Subcontract 1'!$D40='W2'!$A$52,'W2'!H$52,IF('Subcontract 1'!$D40='W2'!$A$53,'W2'!H$53,IF('Subcontract 1'!$D40='W2'!$A$54,'W2'!H$54,IF('Subcontract 1'!$D40='W2'!$A$55,'W2'!H$55))))))))))),0)+ROUND(Q13/'W2'!$F$5*'W2'!$F$10*(IF('Subcontract 1'!$D40='W2'!$A$47,'W2'!I$47,IF('Subcontract 1'!$D40='W2'!$A$48,'W2'!I$48,IF('Subcontract 1'!$D40='W2'!$A$49,'W2'!I$49,IF('Subcontract 1'!$D40='W2'!$A$50,'W2'!I$50,IF('Subcontract 1'!$D40='W2'!$A$51,'W2'!I$51,IF('Subcontract 1'!$D40='W2'!$A$52,'W2'!I$52,IF('Subcontract 1'!$D40='W2'!$A$53,'W2'!I$53,IF('Subcontract 1'!$D40='W2'!$A$54,'W2'!I$54,IF('Subcontract 1'!$D40='W2'!$A$55,'W2'!I$55)))))))))),0))))))))</f>
        <v>0</v>
      </c>
      <c r="R40" s="187">
        <f>IF(R13=0,0,IF(AND($D40="F-SMRA",R13=0),0,IF(AND($D40="F-SMRB",R13=0),0,IF(AND($D40="F-SMRC",R13=0),0,IF($D40='W2'!$A$68,'W2'!J306,IF($D40='W2'!$A$69,'W2'!J306,IF($D40='W2'!$A$70,'W2'!J306,ROUND(('Subcontract 1'!R13/'W2'!$G$5*'W2'!$G$9*(IF('Subcontract 1'!$D40='W2'!$A$47,'W2'!J$47,IF('Subcontract 1'!$D40='W2'!$A$48,'W2'!J$48,IF('Subcontract 1'!$D40='W2'!$A$49,'W2'!J$49,IF('Subcontract 1'!$D40='W2'!$A$50,'W2'!J$50,IF('Subcontract 1'!$D40='W2'!$A$51,'W2'!J$51,IF('Subcontract 1'!$D40='W2'!$A$52,'W2'!J$52,IF('Subcontract 1'!$D40='W2'!$A$53,'W2'!J$53,IF('Subcontract 1'!$D40='W2'!$A$54,'W2'!J$54,IF('Subcontract 1'!$D40='W2'!$A$55,'W2'!J$55))))))))))),0)+ROUND(R13/'W2'!$G$5*'W2'!$G$10*(IF('Subcontract 1'!$D40='W2'!$A$47,'W2'!K$47,IF('Subcontract 1'!$D40='W2'!$A$48,'W2'!K$48,IF('Subcontract 1'!$D40='W2'!$A$49,'W2'!K$49,IF('Subcontract 1'!$D40='W2'!$A$50,'W2'!K$50,IF('Subcontract 1'!$D40='W2'!$A$51,'W2'!K$51,IF('Subcontract 1'!$D40='W2'!$A$52,'W2'!K$52,IF('Subcontract 1'!$D40='W2'!$A$53,'W2'!K$53,IF('Subcontract 1'!$D40='W2'!$A$54,'W2'!K$54,IF('Subcontract 1'!$D40='W2'!$A$55,'W2'!K$55)))))))))),0))))))))</f>
        <v>0</v>
      </c>
      <c r="S40" s="187">
        <f t="shared" si="6"/>
        <v>0</v>
      </c>
      <c r="T40" s="248"/>
      <c r="U40" s="248"/>
      <c r="V40" s="248"/>
      <c r="W40" s="248"/>
      <c r="X40" s="248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hidden="1" x14ac:dyDescent="0.2">
      <c r="A41" s="92">
        <v>7</v>
      </c>
      <c r="B41" s="381">
        <f t="shared" si="4"/>
        <v>0</v>
      </c>
      <c r="C41" s="382"/>
      <c r="D41" s="199" t="s">
        <v>52</v>
      </c>
      <c r="E41" s="265" t="str">
        <f>IF($D41='W2'!$A$59,'W2'!B$59,IF($D41='W2'!$A$60,'W2'!B$60,IF($D41='W2'!$A$61,'W2'!B$61,IF($D41='W2'!$A$62,'W2'!B$62,IF($D41='W2'!$A$63,'W2'!B$63,IF($D41='W2'!$A$64,'W2'!B$64,IF($D41='W2'!$A$65,'W2'!B$65,IF($D41='W2'!$A$66,'W2'!B$66,IF($D41='W2'!$A$67,'W2'!B$67,IF($D41='W2'!$A$68,'W2'!B281,IF($D41='W2'!$A$69,'W2'!B281,IF($D41='W2'!$A$70,'W2'!B281,IF($D41='W2'!$A$71,"")))))))))))))</f>
        <v/>
      </c>
      <c r="F41" s="378" t="str">
        <f>IF($D41='W2'!$A$59,'W2'!C$59,IF($D41='W2'!$A$60,'W2'!C$60,IF($D41='W2'!$A$61,'W2'!C$61,IF($D41='W2'!$A$62,'W2'!C$62,IF($D41='W2'!$A$63,'W2'!C$63,IF($D41='W2'!$A$64,'W2'!C$64,IF($D41='W2'!$A$65,'W2'!C$65,IF($D41='W2'!$A$66,'W2'!C$66,IF($D41='W2'!$A$67,'W2'!C$67,IF($D41='W2'!$A$68,'W2'!D281,IF($D41='W2'!$A$69,'W2'!D281,IF($D41='W2'!$A$70,'W2'!D281,IF($D41='W2'!$A$71,"")))))))))))))</f>
        <v/>
      </c>
      <c r="G41" s="379"/>
      <c r="H41" s="366" t="str">
        <f>IF($D41='W2'!$A$59,'W2'!D$59,IF($D41='W2'!$A$60,'W2'!D$60,IF($D41='W2'!$A$61,'W2'!D$61,IF($D41='W2'!$A$62,'W2'!D$62,IF($D41='W2'!$A$63,'W2'!D$63,IF($D41='W2'!$A$64,'W2'!D$64,IF($D41='W2'!$A$65,'W2'!D$65,IF($D41='W2'!$A$66,'W2'!D$66,IF($D41='W2'!$A$67,'W2'!D$67,IF($D41='W2'!$A$68,'W2'!F281,IF($D41='W2'!$A$69,'W2'!F281,IF($D41='W2'!$A$70,'W2'!F281,IF($D41='W2'!$A$71,"")))))))))))))</f>
        <v/>
      </c>
      <c r="I41" s="367"/>
      <c r="J41" s="366" t="str">
        <f>IF($D41='W2'!$A$59,'W2'!E$59,IF($D41='W2'!$A$60,'W2'!E$60,IF($D41='W2'!$A$61,'W2'!E$61,IF($D41='W2'!$A$62,'W2'!E$62,IF($D41='W2'!$A$63,'W2'!E$63,IF($D41='W2'!$A$64,'W2'!E$64,IF($D41='W2'!$A$65,'W2'!E$65,IF($D41='W2'!$A$66,'W2'!E$66,IF($D41='W2'!$A$67,'W2'!E$67,IF($D41='W2'!$A$68,'W2'!H281,IF($D41='W2'!$A$69,'W2'!H281,IF($D41='W2'!$A$70,'W2'!H281,IF($D41='W2'!$A$71,"")))))))))))))</f>
        <v/>
      </c>
      <c r="K41" s="367"/>
      <c r="L41" s="366" t="str">
        <f>IF($D41='W2'!$A$59,'W2'!F$59,IF($D41='W2'!$A$60,'W2'!F$60,IF($D41='W2'!$A$61,'W2'!F$61,IF($D41='W2'!$A$62,'W2'!F$62,IF($D41='W2'!$A$63,'W2'!F$63,IF($D41='W2'!$A$64,'W2'!F$64,IF($D41='W2'!$A$65,'W2'!F$65,IF($D41='W2'!$A$66,'W2'!F$66,IF($D41='W2'!$A$67,'W2'!F$67,IF($D41='W2'!$A$68,'W2'!J281,IF($D41='W2'!$A$69,'W2'!J281,IF($D41='W2'!$A$70,'W2'!J281,IF($D41='W2'!$A$71,"")))))))))))))</f>
        <v/>
      </c>
      <c r="M41" s="367"/>
      <c r="N41" s="187">
        <f>IF(N14=0,0,IF(AND($D41="F-SMRA",N14=0),0,IF(AND($D41="F-SMRB",N14=0),0,IF(AND($D41="F-SMRC",N14=0),0,IF($D41='W2'!$A$68,'W2'!B307,IF($D41='W2'!$A$69,'W2'!B307,IF($D41='W2'!$A$70,'W2'!B307,ROUND(('Subcontract 1'!N14/'W2'!$C$5*'W2'!$C$9*(IF('Subcontract 1'!$D41='W2'!$A$47,'W2'!B$47,IF('Subcontract 1'!$D41='W2'!$A$48,'W2'!B$48,IF('Subcontract 1'!$D41='W2'!$A$49,'W2'!B$49,IF('Subcontract 1'!$D41='W2'!$A$50,'W2'!B$50,IF('Subcontract 1'!$D41='W2'!$A$51,'W2'!B$51,IF('Subcontract 1'!$D41='W2'!$A$52,'W2'!B$52,IF('Subcontract 1'!$D41='W2'!$A$53,'W2'!B$53,IF('Subcontract 1'!$D41='W2'!$A$54,'W2'!B$54,IF('Subcontract 1'!$D41='W2'!$A$55,'W2'!B$55))))))))))),0)+ROUND(N14/'W2'!$C$5*'W2'!$C$10*(IF('Subcontract 1'!$D41='W2'!$A$47,'W2'!C$47,IF('Subcontract 1'!$D41='W2'!$A$48,'W2'!C$48,IF('Subcontract 1'!$D41='W2'!$A$49,'W2'!C$49,IF('Subcontract 1'!$D41='W2'!$A$50,'W2'!C$50,IF('Subcontract 1'!$D41='W2'!$A$51,'W2'!C$51,IF('Subcontract 1'!$D41='W2'!$A$52,'W2'!C$52,IF('Subcontract 1'!$D41='W2'!$A$53,'W2'!C$53,IF('Subcontract 1'!$D41='W2'!$A$54,'W2'!C$54,IF('Subcontract 1'!$D41='W2'!$A$55,'W2'!C$55)))))))))),0))))))))</f>
        <v>0</v>
      </c>
      <c r="O41" s="187">
        <f>IF(O14=0,0,IF(AND($D41="F-SMRA",O14=0),0,IF(AND($D41="F-SMRB",O14=0),0,IF(AND($D41="F-SMRC",O14=0),0,IF($D41='W2'!$A$68,'W2'!D307,IF($D41='W2'!$A$69,'W2'!D307,IF($D41='W2'!$A$70,'W2'!D307,ROUND(('Subcontract 1'!O14/'W2'!$D$5*'W2'!$D$9*(IF('Subcontract 1'!$D41='W2'!$A$47,'W2'!D$47,IF('Subcontract 1'!$D41='W2'!$A$48,'W2'!D$48,IF('Subcontract 1'!$D41='W2'!$A$49,'W2'!D$49,IF('Subcontract 1'!$D41='W2'!$A$50,'W2'!D$50,IF('Subcontract 1'!$D41='W2'!$A$51,'W2'!D$51,IF('Subcontract 1'!$D41='W2'!$A$52,'W2'!D$52,IF('Subcontract 1'!$D41='W2'!$A$53,'W2'!D$53,IF('Subcontract 1'!$D41='W2'!$A$54,'W2'!D$54,IF('Subcontract 1'!$D41='W2'!$A$55,'W2'!D$55))))))))))),0)+ROUND(O14/'W2'!$D$5*'W2'!$D$10*(IF('Subcontract 1'!$D41='W2'!$A$47,'W2'!E$47,IF('Subcontract 1'!$D41='W2'!$A$48,'W2'!E$48,IF('Subcontract 1'!$D41='W2'!$A$49,'W2'!E$49,IF('Subcontract 1'!$D41='W2'!$A$50,'W2'!E$50,IF('Subcontract 1'!$D41='W2'!$A$51,'W2'!E$51,IF('Subcontract 1'!$D41='W2'!$A$52,'W2'!E$52,IF('Subcontract 1'!$D41='W2'!$A$53,'W2'!E$53,IF('Subcontract 1'!$D41='W2'!$A$54,'W2'!E$54,IF('Subcontract 1'!$D41='W2'!$A$55,'W2'!E$55)))))))))),0))))))))</f>
        <v>0</v>
      </c>
      <c r="P41" s="187">
        <f>IF(P14=0,0,IF(AND($D41="F-SMRA",P14=0),0,IF(AND($D41="F-SMRB",P14=0),0,IF(AND($D41="F-SMRC",P14=0),0,IF($D41='W2'!$A$68,'W2'!F307,IF($D41='W2'!$A$69,'W2'!F307,IF($D41='W2'!$A$70,'W2'!F307,ROUND(('Subcontract 1'!P14/'W2'!$E$5*'W2'!$E$9*(IF('Subcontract 1'!$D41='W2'!$A$47,'W2'!F$47,IF('Subcontract 1'!$D41='W2'!$A$48,'W2'!F$48,IF('Subcontract 1'!$D41='W2'!$A$49,'W2'!F$49,IF('Subcontract 1'!$D41='W2'!$A$50,'W2'!F$50,IF('Subcontract 1'!$D41='W2'!$A$51,'W2'!F$51,IF('Subcontract 1'!$D41='W2'!$A$52,'W2'!F$52,IF('Subcontract 1'!$D41='W2'!$A$53,'W2'!F$53,IF('Subcontract 1'!$D41='W2'!$A$54,'W2'!F$54,IF('Subcontract 1'!$D41='W2'!$A$55,'W2'!F$55))))))))))),0)+ROUND(P14/'W2'!$E$5*'W2'!$E$10*(IF('Subcontract 1'!$D41='W2'!$A$47,'W2'!G$47,IF('Subcontract 1'!$D41='W2'!$A$48,'W2'!G$48,IF('Subcontract 1'!$D41='W2'!$A$49,'W2'!G$49,IF('Subcontract 1'!$D41='W2'!$A$50,'W2'!G$50,IF('Subcontract 1'!$D41='W2'!$A$51,'W2'!G$51,IF('Subcontract 1'!$D41='W2'!$A$52,'W2'!G$52,IF('Subcontract 1'!$D41='W2'!$A$53,'W2'!G$53,IF('Subcontract 1'!$D41='W2'!$A$54,'W2'!G$54,IF('Subcontract 1'!$D41='W2'!$A$55,'W2'!G$55)))))))))),0))))))))</f>
        <v>0</v>
      </c>
      <c r="Q41" s="187">
        <f>IF(Q14=0,0,IF(AND($D41="F-SMRA",Q14=0),0,IF(AND($D41="F-SMRB",Q14=0),0,IF(AND($D41="F-SMRC",Q14=0),0,IF($D41='W2'!$A$68,'W2'!H307,IF($D41='W2'!$A$69,'W2'!H307,IF($D41='W2'!$A$70,'W2'!H307,ROUND(('Subcontract 1'!Q14/'W2'!$F$5*'W2'!$F$9*(IF('Subcontract 1'!$D41='W2'!$A$47,'W2'!H$47,IF('Subcontract 1'!$D41='W2'!$A$48,'W2'!H$48,IF('Subcontract 1'!$D41='W2'!$A$49,'W2'!H$49,IF('Subcontract 1'!$D41='W2'!$A$50,'W2'!H$50,IF('Subcontract 1'!$D41='W2'!$A$51,'W2'!H$51,IF('Subcontract 1'!$D41='W2'!$A$52,'W2'!H$52,IF('Subcontract 1'!$D41='W2'!$A$53,'W2'!H$53,IF('Subcontract 1'!$D41='W2'!$A$54,'W2'!H$54,IF('Subcontract 1'!$D41='W2'!$A$55,'W2'!H$55))))))))))),0)+ROUND(Q14/'W2'!$F$5*'W2'!$F$10*(IF('Subcontract 1'!$D41='W2'!$A$47,'W2'!I$47,IF('Subcontract 1'!$D41='W2'!$A$48,'W2'!I$48,IF('Subcontract 1'!$D41='W2'!$A$49,'W2'!I$49,IF('Subcontract 1'!$D41='W2'!$A$50,'W2'!I$50,IF('Subcontract 1'!$D41='W2'!$A$51,'W2'!I$51,IF('Subcontract 1'!$D41='W2'!$A$52,'W2'!I$52,IF('Subcontract 1'!$D41='W2'!$A$53,'W2'!I$53,IF('Subcontract 1'!$D41='W2'!$A$54,'W2'!I$54,IF('Subcontract 1'!$D41='W2'!$A$55,'W2'!I$55)))))))))),0))))))))</f>
        <v>0</v>
      </c>
      <c r="R41" s="187">
        <f>IF(R14=0,0,IF(AND($D41="F-SMRA",R14=0),0,IF(AND($D41="F-SMRB",R14=0),0,IF(AND($D41="F-SMRC",R14=0),0,IF($D41='W2'!$A$68,'W2'!J307,IF($D41='W2'!$A$69,'W2'!J307,IF($D41='W2'!$A$70,'W2'!J307,ROUND(('Subcontract 1'!R14/'W2'!$G$5*'W2'!$G$9*(IF('Subcontract 1'!$D41='W2'!$A$47,'W2'!J$47,IF('Subcontract 1'!$D41='W2'!$A$48,'W2'!J$48,IF('Subcontract 1'!$D41='W2'!$A$49,'W2'!J$49,IF('Subcontract 1'!$D41='W2'!$A$50,'W2'!J$50,IF('Subcontract 1'!$D41='W2'!$A$51,'W2'!J$51,IF('Subcontract 1'!$D41='W2'!$A$52,'W2'!J$52,IF('Subcontract 1'!$D41='W2'!$A$53,'W2'!J$53,IF('Subcontract 1'!$D41='W2'!$A$54,'W2'!J$54,IF('Subcontract 1'!$D41='W2'!$A$55,'W2'!J$55))))))))))),0)+ROUND(R14/'W2'!$G$5*'W2'!$G$10*(IF('Subcontract 1'!$D41='W2'!$A$47,'W2'!K$47,IF('Subcontract 1'!$D41='W2'!$A$48,'W2'!K$48,IF('Subcontract 1'!$D41='W2'!$A$49,'W2'!K$49,IF('Subcontract 1'!$D41='W2'!$A$50,'W2'!K$50,IF('Subcontract 1'!$D41='W2'!$A$51,'W2'!K$51,IF('Subcontract 1'!$D41='W2'!$A$52,'W2'!K$52,IF('Subcontract 1'!$D41='W2'!$A$53,'W2'!K$53,IF('Subcontract 1'!$D41='W2'!$A$54,'W2'!K$54,IF('Subcontract 1'!$D41='W2'!$A$55,'W2'!K$55)))))))))),0))))))))</f>
        <v>0</v>
      </c>
      <c r="S41" s="187">
        <f t="shared" si="6"/>
        <v>0</v>
      </c>
      <c r="T41" s="248"/>
      <c r="U41" s="248"/>
      <c r="V41" s="248"/>
      <c r="W41" s="248"/>
      <c r="X41" s="248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hidden="1" x14ac:dyDescent="0.2">
      <c r="A42" s="92">
        <v>8</v>
      </c>
      <c r="B42" s="381">
        <f t="shared" si="4"/>
        <v>0</v>
      </c>
      <c r="C42" s="382"/>
      <c r="D42" s="199" t="s">
        <v>52</v>
      </c>
      <c r="E42" s="265" t="str">
        <f>IF($D42='W2'!$A$59,'W2'!B$59,IF($D42='W2'!$A$60,'W2'!B$60,IF($D42='W2'!$A$61,'W2'!B$61,IF($D42='W2'!$A$62,'W2'!B$62,IF($D42='W2'!$A$63,'W2'!B$63,IF($D42='W2'!$A$64,'W2'!B$64,IF($D42='W2'!$A$65,'W2'!B$65,IF($D42='W2'!$A$66,'W2'!B$66,IF($D42='W2'!$A$67,'W2'!B$67,IF($D42='W2'!$A$68,'W2'!B282,IF($D42='W2'!$A$69,'W2'!B282,IF($D42='W2'!$A$70,'W2'!B282,IF($D42='W2'!$A$71,"")))))))))))))</f>
        <v/>
      </c>
      <c r="F42" s="378" t="str">
        <f>IF($D42='W2'!$A$59,'W2'!C$59,IF($D42='W2'!$A$60,'W2'!C$60,IF($D42='W2'!$A$61,'W2'!C$61,IF($D42='W2'!$A$62,'W2'!C$62,IF($D42='W2'!$A$63,'W2'!C$63,IF($D42='W2'!$A$64,'W2'!C$64,IF($D42='W2'!$A$65,'W2'!C$65,IF($D42='W2'!$A$66,'W2'!C$66,IF($D42='W2'!$A$67,'W2'!C$67,IF($D42='W2'!$A$68,'W2'!D282,IF($D42='W2'!$A$69,'W2'!D282,IF($D42='W2'!$A$70,'W2'!D282,IF($D42='W2'!$A$71,"")))))))))))))</f>
        <v/>
      </c>
      <c r="G42" s="379"/>
      <c r="H42" s="366" t="str">
        <f>IF($D42='W2'!$A$59,'W2'!D$59,IF($D42='W2'!$A$60,'W2'!D$60,IF($D42='W2'!$A$61,'W2'!D$61,IF($D42='W2'!$A$62,'W2'!D$62,IF($D42='W2'!$A$63,'W2'!D$63,IF($D42='W2'!$A$64,'W2'!D$64,IF($D42='W2'!$A$65,'W2'!D$65,IF($D42='W2'!$A$66,'W2'!D$66,IF($D42='W2'!$A$67,'W2'!D$67,IF($D42='W2'!$A$68,'W2'!F282,IF($D42='W2'!$A$69,'W2'!F282,IF($D42='W2'!$A$70,'W2'!F282,IF($D42='W2'!$A$71,"")))))))))))))</f>
        <v/>
      </c>
      <c r="I42" s="367"/>
      <c r="J42" s="366" t="str">
        <f>IF($D42='W2'!$A$59,'W2'!E$59,IF($D42='W2'!$A$60,'W2'!E$60,IF($D42='W2'!$A$61,'W2'!E$61,IF($D42='W2'!$A$62,'W2'!E$62,IF($D42='W2'!$A$63,'W2'!E$63,IF($D42='W2'!$A$64,'W2'!E$64,IF($D42='W2'!$A$65,'W2'!E$65,IF($D42='W2'!$A$66,'W2'!E$66,IF($D42='W2'!$A$67,'W2'!E$67,IF($D42='W2'!$A$68,'W2'!H282,IF($D42='W2'!$A$69,'W2'!H282,IF($D42='W2'!$A$70,'W2'!H282,IF($D42='W2'!$A$71,"")))))))))))))</f>
        <v/>
      </c>
      <c r="K42" s="367"/>
      <c r="L42" s="366" t="str">
        <f>IF($D42='W2'!$A$59,'W2'!F$59,IF($D42='W2'!$A$60,'W2'!F$60,IF($D42='W2'!$A$61,'W2'!F$61,IF($D42='W2'!$A$62,'W2'!F$62,IF($D42='W2'!$A$63,'W2'!F$63,IF($D42='W2'!$A$64,'W2'!F$64,IF($D42='W2'!$A$65,'W2'!F$65,IF($D42='W2'!$A$66,'W2'!F$66,IF($D42='W2'!$A$67,'W2'!F$67,IF($D42='W2'!$A$68,'W2'!J282,IF($D42='W2'!$A$69,'W2'!J282,IF($D42='W2'!$A$70,'W2'!J282,IF($D42='W2'!$A$71,"")))))))))))))</f>
        <v/>
      </c>
      <c r="M42" s="367"/>
      <c r="N42" s="187">
        <f>IF(N15=0,0,IF(AND($D42="F-SMRA",N15=0),0,IF(AND($D42="F-SMRB",N15=0),0,IF(AND($D42="F-SMRC",N15=0),0,IF($D42='W2'!$A$68,'W2'!B308,IF($D42='W2'!$A$69,'W2'!B308,IF($D42='W2'!$A$70,'W2'!B308,ROUND(('Subcontract 1'!N15/'W2'!$C$5*'W2'!$C$9*(IF('Subcontract 1'!$D42='W2'!$A$47,'W2'!B$47,IF('Subcontract 1'!$D42='W2'!$A$48,'W2'!B$48,IF('Subcontract 1'!$D42='W2'!$A$49,'W2'!B$49,IF('Subcontract 1'!$D42='W2'!$A$50,'W2'!B$50,IF('Subcontract 1'!$D42='W2'!$A$51,'W2'!B$51,IF('Subcontract 1'!$D42='W2'!$A$52,'W2'!B$52,IF('Subcontract 1'!$D42='W2'!$A$53,'W2'!B$53,IF('Subcontract 1'!$D42='W2'!$A$54,'W2'!B$54,IF('Subcontract 1'!$D42='W2'!$A$55,'W2'!B$55))))))))))),0)+ROUND(N15/'W2'!$C$5*'W2'!$C$10*(IF('Subcontract 1'!$D42='W2'!$A$47,'W2'!C$47,IF('Subcontract 1'!$D42='W2'!$A$48,'W2'!C$48,IF('Subcontract 1'!$D42='W2'!$A$49,'W2'!C$49,IF('Subcontract 1'!$D42='W2'!$A$50,'W2'!C$50,IF('Subcontract 1'!$D42='W2'!$A$51,'W2'!C$51,IF('Subcontract 1'!$D42='W2'!$A$52,'W2'!C$52,IF('Subcontract 1'!$D42='W2'!$A$53,'W2'!C$53,IF('Subcontract 1'!$D42='W2'!$A$54,'W2'!C$54,IF('Subcontract 1'!$D42='W2'!$A$55,'W2'!C$55)))))))))),0))))))))</f>
        <v>0</v>
      </c>
      <c r="O42" s="187">
        <f>IF(O15=0,0,IF(AND($D42="F-SMRA",O15=0),0,IF(AND($D42="F-SMRB",O15=0),0,IF(AND($D42="F-SMRC",O15=0),0,IF($D42='W2'!$A$68,'W2'!D308,IF($D42='W2'!$A$69,'W2'!D308,IF($D42='W2'!$A$70,'W2'!D308,ROUND(('Subcontract 1'!O15/'W2'!$D$5*'W2'!$D$9*(IF('Subcontract 1'!$D42='W2'!$A$47,'W2'!D$47,IF('Subcontract 1'!$D42='W2'!$A$48,'W2'!D$48,IF('Subcontract 1'!$D42='W2'!$A$49,'W2'!D$49,IF('Subcontract 1'!$D42='W2'!$A$50,'W2'!D$50,IF('Subcontract 1'!$D42='W2'!$A$51,'W2'!D$51,IF('Subcontract 1'!$D42='W2'!$A$52,'W2'!D$52,IF('Subcontract 1'!$D42='W2'!$A$53,'W2'!D$53,IF('Subcontract 1'!$D42='W2'!$A$54,'W2'!D$54,IF('Subcontract 1'!$D42='W2'!$A$55,'W2'!D$55))))))))))),0)+ROUND(O15/'W2'!$D$5*'W2'!$D$10*(IF('Subcontract 1'!$D42='W2'!$A$47,'W2'!E$47,IF('Subcontract 1'!$D42='W2'!$A$48,'W2'!E$48,IF('Subcontract 1'!$D42='W2'!$A$49,'W2'!E$49,IF('Subcontract 1'!$D42='W2'!$A$50,'W2'!E$50,IF('Subcontract 1'!$D42='W2'!$A$51,'W2'!E$51,IF('Subcontract 1'!$D42='W2'!$A$52,'W2'!E$52,IF('Subcontract 1'!$D42='W2'!$A$53,'W2'!E$53,IF('Subcontract 1'!$D42='W2'!$A$54,'W2'!E$54,IF('Subcontract 1'!$D42='W2'!$A$55,'W2'!E$55)))))))))),0))))))))</f>
        <v>0</v>
      </c>
      <c r="P42" s="187">
        <f>IF(P15=0,0,IF(AND($D42="F-SMRA",P15=0),0,IF(AND($D42="F-SMRB",P15=0),0,IF(AND($D42="F-SMRC",P15=0),0,IF($D42='W2'!$A$68,'W2'!F308,IF($D42='W2'!$A$69,'W2'!F308,IF($D42='W2'!$A$70,'W2'!F308,ROUND(('Subcontract 1'!P15/'W2'!$E$5*'W2'!$E$9*(IF('Subcontract 1'!$D42='W2'!$A$47,'W2'!F$47,IF('Subcontract 1'!$D42='W2'!$A$48,'W2'!F$48,IF('Subcontract 1'!$D42='W2'!$A$49,'W2'!F$49,IF('Subcontract 1'!$D42='W2'!$A$50,'W2'!F$50,IF('Subcontract 1'!$D42='W2'!$A$51,'W2'!F$51,IF('Subcontract 1'!$D42='W2'!$A$52,'W2'!F$52,IF('Subcontract 1'!$D42='W2'!$A$53,'W2'!F$53,IF('Subcontract 1'!$D42='W2'!$A$54,'W2'!F$54,IF('Subcontract 1'!$D42='W2'!$A$55,'W2'!F$55))))))))))),0)+ROUND(P15/'W2'!$E$5*'W2'!$E$10*(IF('Subcontract 1'!$D42='W2'!$A$47,'W2'!G$47,IF('Subcontract 1'!$D42='W2'!$A$48,'W2'!G$48,IF('Subcontract 1'!$D42='W2'!$A$49,'W2'!G$49,IF('Subcontract 1'!$D42='W2'!$A$50,'W2'!G$50,IF('Subcontract 1'!$D42='W2'!$A$51,'W2'!G$51,IF('Subcontract 1'!$D42='W2'!$A$52,'W2'!G$52,IF('Subcontract 1'!$D42='W2'!$A$53,'W2'!G$53,IF('Subcontract 1'!$D42='W2'!$A$54,'W2'!G$54,IF('Subcontract 1'!$D42='W2'!$A$55,'W2'!G$55)))))))))),0))))))))</f>
        <v>0</v>
      </c>
      <c r="Q42" s="187">
        <f>IF(Q15=0,0,IF(AND($D42="F-SMRA",Q15=0),0,IF(AND($D42="F-SMRB",Q15=0),0,IF(AND($D42="F-SMRC",Q15=0),0,IF($D42='W2'!$A$68,'W2'!H308,IF($D42='W2'!$A$69,'W2'!H308,IF($D42='W2'!$A$70,'W2'!H308,ROUND(('Subcontract 1'!Q15/'W2'!$F$5*'W2'!$F$9*(IF('Subcontract 1'!$D42='W2'!$A$47,'W2'!H$47,IF('Subcontract 1'!$D42='W2'!$A$48,'W2'!H$48,IF('Subcontract 1'!$D42='W2'!$A$49,'W2'!H$49,IF('Subcontract 1'!$D42='W2'!$A$50,'W2'!H$50,IF('Subcontract 1'!$D42='W2'!$A$51,'W2'!H$51,IF('Subcontract 1'!$D42='W2'!$A$52,'W2'!H$52,IF('Subcontract 1'!$D42='W2'!$A$53,'W2'!H$53,IF('Subcontract 1'!$D42='W2'!$A$54,'W2'!H$54,IF('Subcontract 1'!$D42='W2'!$A$55,'W2'!H$55))))))))))),0)+ROUND(Q15/'W2'!$F$5*'W2'!$F$10*(IF('Subcontract 1'!$D42='W2'!$A$47,'W2'!I$47,IF('Subcontract 1'!$D42='W2'!$A$48,'W2'!I$48,IF('Subcontract 1'!$D42='W2'!$A$49,'W2'!I$49,IF('Subcontract 1'!$D42='W2'!$A$50,'W2'!I$50,IF('Subcontract 1'!$D42='W2'!$A$51,'W2'!I$51,IF('Subcontract 1'!$D42='W2'!$A$52,'W2'!I$52,IF('Subcontract 1'!$D42='W2'!$A$53,'W2'!I$53,IF('Subcontract 1'!$D42='W2'!$A$54,'W2'!I$54,IF('Subcontract 1'!$D42='W2'!$A$55,'W2'!I$55)))))))))),0))))))))</f>
        <v>0</v>
      </c>
      <c r="R42" s="187">
        <f>IF(R15=0,0,IF(AND($D42="F-SMRA",R15=0),0,IF(AND($D42="F-SMRB",R15=0),0,IF(AND($D42="F-SMRC",R15=0),0,IF($D42='W2'!$A$68,'W2'!J308,IF($D42='W2'!$A$69,'W2'!J308,IF($D42='W2'!$A$70,'W2'!J308,ROUND(('Subcontract 1'!R15/'W2'!$G$5*'W2'!$G$9*(IF('Subcontract 1'!$D42='W2'!$A$47,'W2'!J$47,IF('Subcontract 1'!$D42='W2'!$A$48,'W2'!J$48,IF('Subcontract 1'!$D42='W2'!$A$49,'W2'!J$49,IF('Subcontract 1'!$D42='W2'!$A$50,'W2'!J$50,IF('Subcontract 1'!$D42='W2'!$A$51,'W2'!J$51,IF('Subcontract 1'!$D42='W2'!$A$52,'W2'!J$52,IF('Subcontract 1'!$D42='W2'!$A$53,'W2'!J$53,IF('Subcontract 1'!$D42='W2'!$A$54,'W2'!J$54,IF('Subcontract 1'!$D42='W2'!$A$55,'W2'!J$55))))))))))),0)+ROUND(R15/'W2'!$G$5*'W2'!$G$10*(IF('Subcontract 1'!$D42='W2'!$A$47,'W2'!K$47,IF('Subcontract 1'!$D42='W2'!$A$48,'W2'!K$48,IF('Subcontract 1'!$D42='W2'!$A$49,'W2'!K$49,IF('Subcontract 1'!$D42='W2'!$A$50,'W2'!K$50,IF('Subcontract 1'!$D42='W2'!$A$51,'W2'!K$51,IF('Subcontract 1'!$D42='W2'!$A$52,'W2'!K$52,IF('Subcontract 1'!$D42='W2'!$A$53,'W2'!K$53,IF('Subcontract 1'!$D42='W2'!$A$54,'W2'!K$54,IF('Subcontract 1'!$D42='W2'!$A$55,'W2'!K$55)))))))))),0))))))))</f>
        <v>0</v>
      </c>
      <c r="S42" s="187">
        <f t="shared" si="6"/>
        <v>0</v>
      </c>
      <c r="T42" s="248"/>
      <c r="U42" s="248"/>
      <c r="V42" s="248"/>
      <c r="W42" s="248"/>
      <c r="X42" s="248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hidden="1" x14ac:dyDescent="0.2">
      <c r="A43" s="92">
        <v>9</v>
      </c>
      <c r="B43" s="381">
        <f t="shared" si="4"/>
        <v>0</v>
      </c>
      <c r="C43" s="382"/>
      <c r="D43" s="199" t="s">
        <v>52</v>
      </c>
      <c r="E43" s="265" t="str">
        <f>IF($D43='W2'!$A$59,'W2'!B$59,IF($D43='W2'!$A$60,'W2'!B$60,IF($D43='W2'!$A$61,'W2'!B$61,IF($D43='W2'!$A$62,'W2'!B$62,IF($D43='W2'!$A$63,'W2'!B$63,IF($D43='W2'!$A$64,'W2'!B$64,IF($D43='W2'!$A$65,'W2'!B$65,IF($D43='W2'!$A$66,'W2'!B$66,IF($D43='W2'!$A$67,'W2'!B$67,IF($D43='W2'!$A$68,'W2'!B283,IF($D43='W2'!$A$69,'W2'!B283,IF($D43='W2'!$A$70,'W2'!B283,IF($D43='W2'!$A$71,"")))))))))))))</f>
        <v/>
      </c>
      <c r="F43" s="378" t="str">
        <f>IF($D43='W2'!$A$59,'W2'!C$59,IF($D43='W2'!$A$60,'W2'!C$60,IF($D43='W2'!$A$61,'W2'!C$61,IF($D43='W2'!$A$62,'W2'!C$62,IF($D43='W2'!$A$63,'W2'!C$63,IF($D43='W2'!$A$64,'W2'!C$64,IF($D43='W2'!$A$65,'W2'!C$65,IF($D43='W2'!$A$66,'W2'!C$66,IF($D43='W2'!$A$67,'W2'!C$67,IF($D43='W2'!$A$68,'W2'!D283,IF($D43='W2'!$A$69,'W2'!D283,IF($D43='W2'!$A$70,'W2'!D283,IF($D43='W2'!$A$71,"")))))))))))))</f>
        <v/>
      </c>
      <c r="G43" s="379"/>
      <c r="H43" s="366" t="str">
        <f>IF($D43='W2'!$A$59,'W2'!D$59,IF($D43='W2'!$A$60,'W2'!D$60,IF($D43='W2'!$A$61,'W2'!D$61,IF($D43='W2'!$A$62,'W2'!D$62,IF($D43='W2'!$A$63,'W2'!D$63,IF($D43='W2'!$A$64,'W2'!D$64,IF($D43='W2'!$A$65,'W2'!D$65,IF($D43='W2'!$A$66,'W2'!D$66,IF($D43='W2'!$A$67,'W2'!D$67,IF($D43='W2'!$A$68,'W2'!F283,IF($D43='W2'!$A$69,'W2'!F283,IF($D43='W2'!$A$70,'W2'!F283,IF($D43='W2'!$A$71,"")))))))))))))</f>
        <v/>
      </c>
      <c r="I43" s="367"/>
      <c r="J43" s="366" t="str">
        <f>IF($D43='W2'!$A$59,'W2'!E$59,IF($D43='W2'!$A$60,'W2'!E$60,IF($D43='W2'!$A$61,'W2'!E$61,IF($D43='W2'!$A$62,'W2'!E$62,IF($D43='W2'!$A$63,'W2'!E$63,IF($D43='W2'!$A$64,'W2'!E$64,IF($D43='W2'!$A$65,'W2'!E$65,IF($D43='W2'!$A$66,'W2'!E$66,IF($D43='W2'!$A$67,'W2'!E$67,IF($D43='W2'!$A$68,'W2'!H283,IF($D43='W2'!$A$69,'W2'!H283,IF($D43='W2'!$A$70,'W2'!H283,IF($D43='W2'!$A$71,"")))))))))))))</f>
        <v/>
      </c>
      <c r="K43" s="367"/>
      <c r="L43" s="366" t="str">
        <f>IF($D43='W2'!$A$59,'W2'!F$59,IF($D43='W2'!$A$60,'W2'!F$60,IF($D43='W2'!$A$61,'W2'!F$61,IF($D43='W2'!$A$62,'W2'!F$62,IF($D43='W2'!$A$63,'W2'!F$63,IF($D43='W2'!$A$64,'W2'!F$64,IF($D43='W2'!$A$65,'W2'!F$65,IF($D43='W2'!$A$66,'W2'!F$66,IF($D43='W2'!$A$67,'W2'!F$67,IF($D43='W2'!$A$68,'W2'!J283,IF($D43='W2'!$A$69,'W2'!J283,IF($D43='W2'!$A$70,'W2'!J283,IF($D43='W2'!$A$71,"")))))))))))))</f>
        <v/>
      </c>
      <c r="M43" s="367"/>
      <c r="N43" s="187">
        <f>IF(N16=0,0,IF(AND($D43="F-SMRA",N16=0),0,IF(AND($D43="F-SMRB",N16=0),0,IF(AND($D43="F-SMRC",N16=0),0,IF($D43='W2'!$A$68,'W2'!B309,IF($D43='W2'!$A$69,'W2'!B309,IF($D43='W2'!$A$70,'W2'!B309,ROUND(('Subcontract 1'!N16/'W2'!$C$5*'W2'!$C$9*(IF('Subcontract 1'!$D43='W2'!$A$47,'W2'!B$47,IF('Subcontract 1'!$D43='W2'!$A$48,'W2'!B$48,IF('Subcontract 1'!$D43='W2'!$A$49,'W2'!B$49,IF('Subcontract 1'!$D43='W2'!$A$50,'W2'!B$50,IF('Subcontract 1'!$D43='W2'!$A$51,'W2'!B$51,IF('Subcontract 1'!$D43='W2'!$A$52,'W2'!B$52,IF('Subcontract 1'!$D43='W2'!$A$53,'W2'!B$53,IF('Subcontract 1'!$D43='W2'!$A$54,'W2'!B$54,IF('Subcontract 1'!$D43='W2'!$A$55,'W2'!B$55))))))))))),0)+ROUND(N16/'W2'!$C$5*'W2'!$C$10*(IF('Subcontract 1'!$D43='W2'!$A$47,'W2'!C$47,IF('Subcontract 1'!$D43='W2'!$A$48,'W2'!C$48,IF('Subcontract 1'!$D43='W2'!$A$49,'W2'!C$49,IF('Subcontract 1'!$D43='W2'!$A$50,'W2'!C$50,IF('Subcontract 1'!$D43='W2'!$A$51,'W2'!C$51,IF('Subcontract 1'!$D43='W2'!$A$52,'W2'!C$52,IF('Subcontract 1'!$D43='W2'!$A$53,'W2'!C$53,IF('Subcontract 1'!$D43='W2'!$A$54,'W2'!C$54,IF('Subcontract 1'!$D43='W2'!$A$55,'W2'!C$55)))))))))),0))))))))</f>
        <v>0</v>
      </c>
      <c r="O43" s="187">
        <f>IF(O16=0,0,IF(AND($D43="F-SMRA",O16=0),0,IF(AND($D43="F-SMRB",O16=0),0,IF(AND($D43="F-SMRC",O16=0),0,IF($D43='W2'!$A$68,'W2'!D309,IF($D43='W2'!$A$69,'W2'!D309,IF($D43='W2'!$A$70,'W2'!D309,ROUND(('Subcontract 1'!O16/'W2'!$D$5*'W2'!$D$9*(IF('Subcontract 1'!$D43='W2'!$A$47,'W2'!D$47,IF('Subcontract 1'!$D43='W2'!$A$48,'W2'!D$48,IF('Subcontract 1'!$D43='W2'!$A$49,'W2'!D$49,IF('Subcontract 1'!$D43='W2'!$A$50,'W2'!D$50,IF('Subcontract 1'!$D43='W2'!$A$51,'W2'!D$51,IF('Subcontract 1'!$D43='W2'!$A$52,'W2'!D$52,IF('Subcontract 1'!$D43='W2'!$A$53,'W2'!D$53,IF('Subcontract 1'!$D43='W2'!$A$54,'W2'!D$54,IF('Subcontract 1'!$D43='W2'!$A$55,'W2'!D$55))))))))))),0)+ROUND(O16/'W2'!$D$5*'W2'!$D$10*(IF('Subcontract 1'!$D43='W2'!$A$47,'W2'!E$47,IF('Subcontract 1'!$D43='W2'!$A$48,'W2'!E$48,IF('Subcontract 1'!$D43='W2'!$A$49,'W2'!E$49,IF('Subcontract 1'!$D43='W2'!$A$50,'W2'!E$50,IF('Subcontract 1'!$D43='W2'!$A$51,'W2'!E$51,IF('Subcontract 1'!$D43='W2'!$A$52,'W2'!E$52,IF('Subcontract 1'!$D43='W2'!$A$53,'W2'!E$53,IF('Subcontract 1'!$D43='W2'!$A$54,'W2'!E$54,IF('Subcontract 1'!$D43='W2'!$A$55,'W2'!E$55)))))))))),0))))))))</f>
        <v>0</v>
      </c>
      <c r="P43" s="187">
        <f>IF(P16=0,0,IF(AND($D43="F-SMRA",P16=0),0,IF(AND($D43="F-SMRB",P16=0),0,IF(AND($D43="F-SMRC",P16=0),0,IF($D43='W2'!$A$68,'W2'!F309,IF($D43='W2'!$A$69,'W2'!F309,IF($D43='W2'!$A$70,'W2'!F309,ROUND(('Subcontract 1'!P16/'W2'!$E$5*'W2'!$E$9*(IF('Subcontract 1'!$D43='W2'!$A$47,'W2'!F$47,IF('Subcontract 1'!$D43='W2'!$A$48,'W2'!F$48,IF('Subcontract 1'!$D43='W2'!$A$49,'W2'!F$49,IF('Subcontract 1'!$D43='W2'!$A$50,'W2'!F$50,IF('Subcontract 1'!$D43='W2'!$A$51,'W2'!F$51,IF('Subcontract 1'!$D43='W2'!$A$52,'W2'!F$52,IF('Subcontract 1'!$D43='W2'!$A$53,'W2'!F$53,IF('Subcontract 1'!$D43='W2'!$A$54,'W2'!F$54,IF('Subcontract 1'!$D43='W2'!$A$55,'W2'!F$55))))))))))),0)+ROUND(P16/'W2'!$E$5*'W2'!$E$10*(IF('Subcontract 1'!$D43='W2'!$A$47,'W2'!G$47,IF('Subcontract 1'!$D43='W2'!$A$48,'W2'!G$48,IF('Subcontract 1'!$D43='W2'!$A$49,'W2'!G$49,IF('Subcontract 1'!$D43='W2'!$A$50,'W2'!G$50,IF('Subcontract 1'!$D43='W2'!$A$51,'W2'!G$51,IF('Subcontract 1'!$D43='W2'!$A$52,'W2'!G$52,IF('Subcontract 1'!$D43='W2'!$A$53,'W2'!G$53,IF('Subcontract 1'!$D43='W2'!$A$54,'W2'!G$54,IF('Subcontract 1'!$D43='W2'!$A$55,'W2'!G$55)))))))))),0))))))))</f>
        <v>0</v>
      </c>
      <c r="Q43" s="187">
        <f>IF(Q16=0,0,IF(AND($D43="F-SMRA",Q16=0),0,IF(AND($D43="F-SMRB",Q16=0),0,IF(AND($D43="F-SMRC",Q16=0),0,IF($D43='W2'!$A$68,'W2'!H309,IF($D43='W2'!$A$69,'W2'!H309,IF($D43='W2'!$A$70,'W2'!H309,ROUND(('Subcontract 1'!Q16/'W2'!$F$5*'W2'!$F$9*(IF('Subcontract 1'!$D43='W2'!$A$47,'W2'!H$47,IF('Subcontract 1'!$D43='W2'!$A$48,'W2'!H$48,IF('Subcontract 1'!$D43='W2'!$A$49,'W2'!H$49,IF('Subcontract 1'!$D43='W2'!$A$50,'W2'!H$50,IF('Subcontract 1'!$D43='W2'!$A$51,'W2'!H$51,IF('Subcontract 1'!$D43='W2'!$A$52,'W2'!H$52,IF('Subcontract 1'!$D43='W2'!$A$53,'W2'!H$53,IF('Subcontract 1'!$D43='W2'!$A$54,'W2'!H$54,IF('Subcontract 1'!$D43='W2'!$A$55,'W2'!H$55))))))))))),0)+ROUND(Q16/'W2'!$F$5*'W2'!$F$10*(IF('Subcontract 1'!$D43='W2'!$A$47,'W2'!I$47,IF('Subcontract 1'!$D43='W2'!$A$48,'W2'!I$48,IF('Subcontract 1'!$D43='W2'!$A$49,'W2'!I$49,IF('Subcontract 1'!$D43='W2'!$A$50,'W2'!I$50,IF('Subcontract 1'!$D43='W2'!$A$51,'W2'!I$51,IF('Subcontract 1'!$D43='W2'!$A$52,'W2'!I$52,IF('Subcontract 1'!$D43='W2'!$A$53,'W2'!I$53,IF('Subcontract 1'!$D43='W2'!$A$54,'W2'!I$54,IF('Subcontract 1'!$D43='W2'!$A$55,'W2'!I$55)))))))))),0))))))))</f>
        <v>0</v>
      </c>
      <c r="R43" s="187">
        <f>IF(R16=0,0,IF(AND($D43="F-SMRA",R16=0),0,IF(AND($D43="F-SMRB",R16=0),0,IF(AND($D43="F-SMRC",R16=0),0,IF($D43='W2'!$A$68,'W2'!J309,IF($D43='W2'!$A$69,'W2'!J309,IF($D43='W2'!$A$70,'W2'!J309,ROUND(('Subcontract 1'!R16/'W2'!$G$5*'W2'!$G$9*(IF('Subcontract 1'!$D43='W2'!$A$47,'W2'!J$47,IF('Subcontract 1'!$D43='W2'!$A$48,'W2'!J$48,IF('Subcontract 1'!$D43='W2'!$A$49,'W2'!J$49,IF('Subcontract 1'!$D43='W2'!$A$50,'W2'!J$50,IF('Subcontract 1'!$D43='W2'!$A$51,'W2'!J$51,IF('Subcontract 1'!$D43='W2'!$A$52,'W2'!J$52,IF('Subcontract 1'!$D43='W2'!$A$53,'W2'!J$53,IF('Subcontract 1'!$D43='W2'!$A$54,'W2'!J$54,IF('Subcontract 1'!$D43='W2'!$A$55,'W2'!J$55))))))))))),0)+ROUND(R16/'W2'!$G$5*'W2'!$G$10*(IF('Subcontract 1'!$D43='W2'!$A$47,'W2'!K$47,IF('Subcontract 1'!$D43='W2'!$A$48,'W2'!K$48,IF('Subcontract 1'!$D43='W2'!$A$49,'W2'!K$49,IF('Subcontract 1'!$D43='W2'!$A$50,'W2'!K$50,IF('Subcontract 1'!$D43='W2'!$A$51,'W2'!K$51,IF('Subcontract 1'!$D43='W2'!$A$52,'W2'!K$52,IF('Subcontract 1'!$D43='W2'!$A$53,'W2'!K$53,IF('Subcontract 1'!$D43='W2'!$A$54,'W2'!K$54,IF('Subcontract 1'!$D43='W2'!$A$55,'W2'!K$55)))))))))),0))))))))</f>
        <v>0</v>
      </c>
      <c r="S43" s="187">
        <f t="shared" si="6"/>
        <v>0</v>
      </c>
      <c r="T43" s="248"/>
      <c r="U43" s="248"/>
      <c r="V43" s="248"/>
      <c r="W43" s="248"/>
      <c r="X43" s="248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hidden="1" x14ac:dyDescent="0.2">
      <c r="A44" s="92">
        <v>10</v>
      </c>
      <c r="B44" s="381">
        <f t="shared" si="4"/>
        <v>0</v>
      </c>
      <c r="C44" s="382"/>
      <c r="D44" s="199" t="s">
        <v>52</v>
      </c>
      <c r="E44" s="265" t="str">
        <f>IF($D44='W2'!$A$59,'W2'!B$59,IF($D44='W2'!$A$60,'W2'!B$60,IF($D44='W2'!$A$61,'W2'!B$61,IF($D44='W2'!$A$62,'W2'!B$62,IF($D44='W2'!$A$63,'W2'!B$63,IF($D44='W2'!$A$64,'W2'!B$64,IF($D44='W2'!$A$65,'W2'!B$65,IF($D44='W2'!$A$66,'W2'!B$66,IF($D44='W2'!$A$67,'W2'!B$67,IF($D44='W2'!$A$68,'W2'!B284,IF($D44='W2'!$A$69,'W2'!B284,IF($D44='W2'!$A$70,'W2'!B284,IF($D44='W2'!$A$71,"")))))))))))))</f>
        <v/>
      </c>
      <c r="F44" s="378" t="str">
        <f>IF($D44='W2'!$A$59,'W2'!C$59,IF($D44='W2'!$A$60,'W2'!C$60,IF($D44='W2'!$A$61,'W2'!C$61,IF($D44='W2'!$A$62,'W2'!C$62,IF($D44='W2'!$A$63,'W2'!C$63,IF($D44='W2'!$A$64,'W2'!C$64,IF($D44='W2'!$A$65,'W2'!C$65,IF($D44='W2'!$A$66,'W2'!C$66,IF($D44='W2'!$A$67,'W2'!C$67,IF($D44='W2'!$A$68,'W2'!D284,IF($D44='W2'!$A$69,'W2'!D284,IF($D44='W2'!$A$70,'W2'!D284,IF($D44='W2'!$A$71,"")))))))))))))</f>
        <v/>
      </c>
      <c r="G44" s="379"/>
      <c r="H44" s="366" t="str">
        <f>IF($D44='W2'!$A$59,'W2'!D$59,IF($D44='W2'!$A$60,'W2'!D$60,IF($D44='W2'!$A$61,'W2'!D$61,IF($D44='W2'!$A$62,'W2'!D$62,IF($D44='W2'!$A$63,'W2'!D$63,IF($D44='W2'!$A$64,'W2'!D$64,IF($D44='W2'!$A$65,'W2'!D$65,IF($D44='W2'!$A$66,'W2'!D$66,IF($D44='W2'!$A$67,'W2'!D$67,IF($D44='W2'!$A$68,'W2'!F284,IF($D44='W2'!$A$69,'W2'!F284,IF($D44='W2'!$A$70,'W2'!F284,IF($D44='W2'!$A$71,"")))))))))))))</f>
        <v/>
      </c>
      <c r="I44" s="367"/>
      <c r="J44" s="366" t="str">
        <f>IF($D44='W2'!$A$59,'W2'!E$59,IF($D44='W2'!$A$60,'W2'!E$60,IF($D44='W2'!$A$61,'W2'!E$61,IF($D44='W2'!$A$62,'W2'!E$62,IF($D44='W2'!$A$63,'W2'!E$63,IF($D44='W2'!$A$64,'W2'!E$64,IF($D44='W2'!$A$65,'W2'!E$65,IF($D44='W2'!$A$66,'W2'!E$66,IF($D44='W2'!$A$67,'W2'!E$67,IF($D44='W2'!$A$68,'W2'!H284,IF($D44='W2'!$A$69,'W2'!H284,IF($D44='W2'!$A$70,'W2'!H284,IF($D44='W2'!$A$71,"")))))))))))))</f>
        <v/>
      </c>
      <c r="K44" s="367"/>
      <c r="L44" s="366" t="str">
        <f>IF($D44='W2'!$A$59,'W2'!F$59,IF($D44='W2'!$A$60,'W2'!F$60,IF($D44='W2'!$A$61,'W2'!F$61,IF($D44='W2'!$A$62,'W2'!F$62,IF($D44='W2'!$A$63,'W2'!F$63,IF($D44='W2'!$A$64,'W2'!F$64,IF($D44='W2'!$A$65,'W2'!F$65,IF($D44='W2'!$A$66,'W2'!F$66,IF($D44='W2'!$A$67,'W2'!F$67,IF($D44='W2'!$A$68,'W2'!J284,IF($D44='W2'!$A$69,'W2'!J284,IF($D44='W2'!$A$70,'W2'!J284,IF($D44='W2'!$A$71,"")))))))))))))</f>
        <v/>
      </c>
      <c r="M44" s="367"/>
      <c r="N44" s="187">
        <f>IF(N17=0,0,IF(AND($D44="F-SMRA",N17=0),0,IF(AND($D44="F-SMRB",N17=0),0,IF(AND($D44="F-SMRC",N17=0),0,IF($D44='W2'!$A$68,'W2'!B310,IF($D44='W2'!$A$69,'W2'!B310,IF($D44='W2'!$A$70,'W2'!B310,ROUND(('Subcontract 1'!N17/'W2'!$C$5*'W2'!$C$9*(IF('Subcontract 1'!$D44='W2'!$A$47,'W2'!B$47,IF('Subcontract 1'!$D44='W2'!$A$48,'W2'!B$48,IF('Subcontract 1'!$D44='W2'!$A$49,'W2'!B$49,IF('Subcontract 1'!$D44='W2'!$A$50,'W2'!B$50,IF('Subcontract 1'!$D44='W2'!$A$51,'W2'!B$51,IF('Subcontract 1'!$D44='W2'!$A$52,'W2'!B$52,IF('Subcontract 1'!$D44='W2'!$A$53,'W2'!B$53,IF('Subcontract 1'!$D44='W2'!$A$54,'W2'!B$54,IF('Subcontract 1'!$D44='W2'!$A$55,'W2'!B$55))))))))))),0)+ROUND(N17/'W2'!$C$5*'W2'!$C$10*(IF('Subcontract 1'!$D44='W2'!$A$47,'W2'!C$47,IF('Subcontract 1'!$D44='W2'!$A$48,'W2'!C$48,IF('Subcontract 1'!$D44='W2'!$A$49,'W2'!C$49,IF('Subcontract 1'!$D44='W2'!$A$50,'W2'!C$50,IF('Subcontract 1'!$D44='W2'!$A$51,'W2'!C$51,IF('Subcontract 1'!$D44='W2'!$A$52,'W2'!C$52,IF('Subcontract 1'!$D44='W2'!$A$53,'W2'!C$53,IF('Subcontract 1'!$D44='W2'!$A$54,'W2'!C$54,IF('Subcontract 1'!$D44='W2'!$A$55,'W2'!C$55)))))))))),0))))))))</f>
        <v>0</v>
      </c>
      <c r="O44" s="187">
        <f>IF(O17=0,0,IF(AND($D44="F-SMRA",O17=0),0,IF(AND($D44="F-SMRB",O17=0),0,IF(AND($D44="F-SMRC",O17=0),0,IF($D44='W2'!$A$68,'W2'!D310,IF($D44='W2'!$A$69,'W2'!D310,IF($D44='W2'!$A$70,'W2'!D310,ROUND(('Subcontract 1'!O17/'W2'!$D$5*'W2'!$D$9*(IF('Subcontract 1'!$D44='W2'!$A$47,'W2'!D$47,IF('Subcontract 1'!$D44='W2'!$A$48,'W2'!D$48,IF('Subcontract 1'!$D44='W2'!$A$49,'W2'!D$49,IF('Subcontract 1'!$D44='W2'!$A$50,'W2'!D$50,IF('Subcontract 1'!$D44='W2'!$A$51,'W2'!D$51,IF('Subcontract 1'!$D44='W2'!$A$52,'W2'!D$52,IF('Subcontract 1'!$D44='W2'!$A$53,'W2'!D$53,IF('Subcontract 1'!$D44='W2'!$A$54,'W2'!D$54,IF('Subcontract 1'!$D44='W2'!$A$55,'W2'!D$55))))))))))),0)+ROUND(O17/'W2'!$D$5*'W2'!$D$10*(IF('Subcontract 1'!$D44='W2'!$A$47,'W2'!E$47,IF('Subcontract 1'!$D44='W2'!$A$48,'W2'!E$48,IF('Subcontract 1'!$D44='W2'!$A$49,'W2'!E$49,IF('Subcontract 1'!$D44='W2'!$A$50,'W2'!E$50,IF('Subcontract 1'!$D44='W2'!$A$51,'W2'!E$51,IF('Subcontract 1'!$D44='W2'!$A$52,'W2'!E$52,IF('Subcontract 1'!$D44='W2'!$A$53,'W2'!E$53,IF('Subcontract 1'!$D44='W2'!$A$54,'W2'!E$54,IF('Subcontract 1'!$D44='W2'!$A$55,'W2'!E$55)))))))))),0))))))))</f>
        <v>0</v>
      </c>
      <c r="P44" s="187">
        <f>IF(P17=0,0,IF(AND($D44="F-SMRA",P17=0),0,IF(AND($D44="F-SMRB",P17=0),0,IF(AND($D44="F-SMRC",P17=0),0,IF($D44='W2'!$A$68,'W2'!F310,IF($D44='W2'!$A$69,'W2'!F310,IF($D44='W2'!$A$70,'W2'!F310,ROUND(('Subcontract 1'!P17/'W2'!$E$5*'W2'!$E$9*(IF('Subcontract 1'!$D44='W2'!$A$47,'W2'!F$47,IF('Subcontract 1'!$D44='W2'!$A$48,'W2'!F$48,IF('Subcontract 1'!$D44='W2'!$A$49,'W2'!F$49,IF('Subcontract 1'!$D44='W2'!$A$50,'W2'!F$50,IF('Subcontract 1'!$D44='W2'!$A$51,'W2'!F$51,IF('Subcontract 1'!$D44='W2'!$A$52,'W2'!F$52,IF('Subcontract 1'!$D44='W2'!$A$53,'W2'!F$53,IF('Subcontract 1'!$D44='W2'!$A$54,'W2'!F$54,IF('Subcontract 1'!$D44='W2'!$A$55,'W2'!F$55))))))))))),0)+ROUND(P17/'W2'!$E$5*'W2'!$E$10*(IF('Subcontract 1'!$D44='W2'!$A$47,'W2'!G$47,IF('Subcontract 1'!$D44='W2'!$A$48,'W2'!G$48,IF('Subcontract 1'!$D44='W2'!$A$49,'W2'!G$49,IF('Subcontract 1'!$D44='W2'!$A$50,'W2'!G$50,IF('Subcontract 1'!$D44='W2'!$A$51,'W2'!G$51,IF('Subcontract 1'!$D44='W2'!$A$52,'W2'!G$52,IF('Subcontract 1'!$D44='W2'!$A$53,'W2'!G$53,IF('Subcontract 1'!$D44='W2'!$A$54,'W2'!G$54,IF('Subcontract 1'!$D44='W2'!$A$55,'W2'!G$55)))))))))),0))))))))</f>
        <v>0</v>
      </c>
      <c r="Q44" s="187">
        <f>IF(Q17=0,0,IF(AND($D44="F-SMRA",Q17=0),0,IF(AND($D44="F-SMRB",Q17=0),0,IF(AND($D44="F-SMRC",Q17=0),0,IF($D44='W2'!$A$68,'W2'!H310,IF($D44='W2'!$A$69,'W2'!H310,IF($D44='W2'!$A$70,'W2'!H310,ROUND(('Subcontract 1'!Q17/'W2'!$F$5*'W2'!$F$9*(IF('Subcontract 1'!$D44='W2'!$A$47,'W2'!H$47,IF('Subcontract 1'!$D44='W2'!$A$48,'W2'!H$48,IF('Subcontract 1'!$D44='W2'!$A$49,'W2'!H$49,IF('Subcontract 1'!$D44='W2'!$A$50,'W2'!H$50,IF('Subcontract 1'!$D44='W2'!$A$51,'W2'!H$51,IF('Subcontract 1'!$D44='W2'!$A$52,'W2'!H$52,IF('Subcontract 1'!$D44='W2'!$A$53,'W2'!H$53,IF('Subcontract 1'!$D44='W2'!$A$54,'W2'!H$54,IF('Subcontract 1'!$D44='W2'!$A$55,'W2'!H$55))))))))))),0)+ROUND(Q17/'W2'!$F$5*'W2'!$F$10*(IF('Subcontract 1'!$D44='W2'!$A$47,'W2'!I$47,IF('Subcontract 1'!$D44='W2'!$A$48,'W2'!I$48,IF('Subcontract 1'!$D44='W2'!$A$49,'W2'!I$49,IF('Subcontract 1'!$D44='W2'!$A$50,'W2'!I$50,IF('Subcontract 1'!$D44='W2'!$A$51,'W2'!I$51,IF('Subcontract 1'!$D44='W2'!$A$52,'W2'!I$52,IF('Subcontract 1'!$D44='W2'!$A$53,'W2'!I$53,IF('Subcontract 1'!$D44='W2'!$A$54,'W2'!I$54,IF('Subcontract 1'!$D44='W2'!$A$55,'W2'!I$55)))))))))),0))))))))</f>
        <v>0</v>
      </c>
      <c r="R44" s="187">
        <f>IF(R17=0,0,IF(AND($D44="F-SMRA",R17=0),0,IF(AND($D44="F-SMRB",R17=0),0,IF(AND($D44="F-SMRC",R17=0),0,IF($D44='W2'!$A$68,'W2'!J310,IF($D44='W2'!$A$69,'W2'!J310,IF($D44='W2'!$A$70,'W2'!J310,ROUND(('Subcontract 1'!R17/'W2'!$G$5*'W2'!$G$9*(IF('Subcontract 1'!$D44='W2'!$A$47,'W2'!J$47,IF('Subcontract 1'!$D44='W2'!$A$48,'W2'!J$48,IF('Subcontract 1'!$D44='W2'!$A$49,'W2'!J$49,IF('Subcontract 1'!$D44='W2'!$A$50,'W2'!J$50,IF('Subcontract 1'!$D44='W2'!$A$51,'W2'!J$51,IF('Subcontract 1'!$D44='W2'!$A$52,'W2'!J$52,IF('Subcontract 1'!$D44='W2'!$A$53,'W2'!J$53,IF('Subcontract 1'!$D44='W2'!$A$54,'W2'!J$54,IF('Subcontract 1'!$D44='W2'!$A$55,'W2'!J$55))))))))))),0)+ROUND(R17/'W2'!$G$5*'W2'!$G$10*(IF('Subcontract 1'!$D44='W2'!$A$47,'W2'!K$47,IF('Subcontract 1'!$D44='W2'!$A$48,'W2'!K$48,IF('Subcontract 1'!$D44='W2'!$A$49,'W2'!K$49,IF('Subcontract 1'!$D44='W2'!$A$50,'W2'!K$50,IF('Subcontract 1'!$D44='W2'!$A$51,'W2'!K$51,IF('Subcontract 1'!$D44='W2'!$A$52,'W2'!K$52,IF('Subcontract 1'!$D44='W2'!$A$53,'W2'!K$53,IF('Subcontract 1'!$D44='W2'!$A$54,'W2'!K$54,IF('Subcontract 1'!$D44='W2'!$A$55,'W2'!K$55)))))))))),0))))))))</f>
        <v>0</v>
      </c>
      <c r="S44" s="187">
        <f t="shared" si="6"/>
        <v>0</v>
      </c>
      <c r="T44" s="248"/>
      <c r="U44" s="248"/>
      <c r="V44" s="248"/>
      <c r="W44" s="248"/>
      <c r="X44" s="248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hidden="1" x14ac:dyDescent="0.2">
      <c r="A45" s="92">
        <v>11</v>
      </c>
      <c r="B45" s="381">
        <f t="shared" si="4"/>
        <v>0</v>
      </c>
      <c r="C45" s="382"/>
      <c r="D45" s="199" t="s">
        <v>52</v>
      </c>
      <c r="E45" s="265" t="str">
        <f>IF($D45='W2'!$A$59,'W2'!B$59,IF($D45='W2'!$A$60,'W2'!B$60,IF($D45='W2'!$A$61,'W2'!B$61,IF($D45='W2'!$A$62,'W2'!B$62,IF($D45='W2'!$A$63,'W2'!B$63,IF($D45='W2'!$A$64,'W2'!B$64,IF($D45='W2'!$A$65,'W2'!B$65,IF($D45='W2'!$A$66,'W2'!B$66,IF($D45='W2'!$A$67,'W2'!B$67,IF($D45='W2'!$A$68,'W2'!B285,IF($D45='W2'!$A$69,'W2'!B285,IF($D45='W2'!$A$70,'W2'!B285,IF($D45='W2'!$A$71,"")))))))))))))</f>
        <v/>
      </c>
      <c r="F45" s="378" t="str">
        <f>IF($D45='W2'!$A$59,'W2'!C$59,IF($D45='W2'!$A$60,'W2'!C$60,IF($D45='W2'!$A$61,'W2'!C$61,IF($D45='W2'!$A$62,'W2'!C$62,IF($D45='W2'!$A$63,'W2'!C$63,IF($D45='W2'!$A$64,'W2'!C$64,IF($D45='W2'!$A$65,'W2'!C$65,IF($D45='W2'!$A$66,'W2'!C$66,IF($D45='W2'!$A$67,'W2'!C$67,IF($D45='W2'!$A$68,'W2'!D285,IF($D45='W2'!$A$69,'W2'!D285,IF($D45='W2'!$A$70,'W2'!D285,IF($D45='W2'!$A$71,"")))))))))))))</f>
        <v/>
      </c>
      <c r="G45" s="379"/>
      <c r="H45" s="366" t="str">
        <f>IF($D45='W2'!$A$59,'W2'!D$59,IF($D45='W2'!$A$60,'W2'!D$60,IF($D45='W2'!$A$61,'W2'!D$61,IF($D45='W2'!$A$62,'W2'!D$62,IF($D45='W2'!$A$63,'W2'!D$63,IF($D45='W2'!$A$64,'W2'!D$64,IF($D45='W2'!$A$65,'W2'!D$65,IF($D45='W2'!$A$66,'W2'!D$66,IF($D45='W2'!$A$67,'W2'!D$67,IF($D45='W2'!$A$68,'W2'!F285,IF($D45='W2'!$A$69,'W2'!F285,IF($D45='W2'!$A$70,'W2'!F285,IF($D45='W2'!$A$71,"")))))))))))))</f>
        <v/>
      </c>
      <c r="I45" s="367"/>
      <c r="J45" s="366" t="str">
        <f>IF($D45='W2'!$A$59,'W2'!E$59,IF($D45='W2'!$A$60,'W2'!E$60,IF($D45='W2'!$A$61,'W2'!E$61,IF($D45='W2'!$A$62,'W2'!E$62,IF($D45='W2'!$A$63,'W2'!E$63,IF($D45='W2'!$A$64,'W2'!E$64,IF($D45='W2'!$A$65,'W2'!E$65,IF($D45='W2'!$A$66,'W2'!E$66,IF($D45='W2'!$A$67,'W2'!E$67,IF($D45='W2'!$A$68,'W2'!H285,IF($D45='W2'!$A$69,'W2'!H285,IF($D45='W2'!$A$70,'W2'!H285,IF($D45='W2'!$A$71,"")))))))))))))</f>
        <v/>
      </c>
      <c r="K45" s="367"/>
      <c r="L45" s="366" t="str">
        <f>IF($D45='W2'!$A$59,'W2'!F$59,IF($D45='W2'!$A$60,'W2'!F$60,IF($D45='W2'!$A$61,'W2'!F$61,IF($D45='W2'!$A$62,'W2'!F$62,IF($D45='W2'!$A$63,'W2'!F$63,IF($D45='W2'!$A$64,'W2'!F$64,IF($D45='W2'!$A$65,'W2'!F$65,IF($D45='W2'!$A$66,'W2'!F$66,IF($D45='W2'!$A$67,'W2'!F$67,IF($D45='W2'!$A$68,'W2'!J285,IF($D45='W2'!$A$69,'W2'!J285,IF($D45='W2'!$A$70,'W2'!J285,IF($D45='W2'!$A$71,"")))))))))))))</f>
        <v/>
      </c>
      <c r="M45" s="367"/>
      <c r="N45" s="200">
        <f>IF(N18=0,0,IF(AND($D45="F-SMRA",N18=0),0,IF(AND($D45="F-SMRB",N18=0),0,IF(AND($D45="F-SMRC",N18=0),0,IF($D45='W2'!$A$68,'W2'!B311,IF($D45='W2'!$A$69,'W2'!B311,IF($D45='W2'!$A$70,'W2'!B311,ROUND(('Subcontract 1'!N18/'W2'!$C$5*'W2'!$C$9*(IF('Subcontract 1'!$D45='W2'!$A$47,'W2'!B$47,IF('Subcontract 1'!$D45='W2'!$A$48,'W2'!B$48,IF('Subcontract 1'!$D45='W2'!$A$49,'W2'!B$49,IF('Subcontract 1'!$D45='W2'!$A$50,'W2'!B$50,IF('Subcontract 1'!$D45='W2'!$A$51,'W2'!B$51,IF('Subcontract 1'!$D45='W2'!$A$52,'W2'!B$52,IF('Subcontract 1'!$D45='W2'!$A$53,'W2'!B$53,IF('Subcontract 1'!$D45='W2'!$A$54,'W2'!B$54,IF('Subcontract 1'!$D45='W2'!$A$55,'W2'!B$55))))))))))),0)+ROUND(N18/'W2'!$C$5*'W2'!$C$10*(IF('Subcontract 1'!$D45='W2'!$A$47,'W2'!C$47,IF('Subcontract 1'!$D45='W2'!$A$48,'W2'!C$48,IF('Subcontract 1'!$D45='W2'!$A$49,'W2'!C$49,IF('Subcontract 1'!$D45='W2'!$A$50,'W2'!C$50,IF('Subcontract 1'!$D45='W2'!$A$51,'W2'!C$51,IF('Subcontract 1'!$D45='W2'!$A$52,'W2'!C$52,IF('Subcontract 1'!$D45='W2'!$A$53,'W2'!C$53,IF('Subcontract 1'!$D45='W2'!$A$54,'W2'!C$54,IF('Subcontract 1'!$D45='W2'!$A$55,'W2'!C$55)))))))))),0))))))))</f>
        <v>0</v>
      </c>
      <c r="O45" s="187">
        <f>IF(O18=0,0,IF(AND($D45="F-SMRA",O18=0),0,IF(AND($D45="F-SMRB",O18=0),0,IF(AND($D45="F-SMRC",O18=0),0,IF($D45='W2'!$A$68,'W2'!D311,IF($D45='W2'!$A$69,'W2'!D311,IF($D45='W2'!$A$70,'W2'!D311,ROUND(('Subcontract 1'!O18/'W2'!$D$5*'W2'!$D$9*(IF('Subcontract 1'!$D45='W2'!$A$47,'W2'!D$47,IF('Subcontract 1'!$D45='W2'!$A$48,'W2'!D$48,IF('Subcontract 1'!$D45='W2'!$A$49,'W2'!D$49,IF('Subcontract 1'!$D45='W2'!$A$50,'W2'!D$50,IF('Subcontract 1'!$D45='W2'!$A$51,'W2'!D$51,IF('Subcontract 1'!$D45='W2'!$A$52,'W2'!D$52,IF('Subcontract 1'!$D45='W2'!$A$53,'W2'!D$53,IF('Subcontract 1'!$D45='W2'!$A$54,'W2'!D$54,IF('Subcontract 1'!$D45='W2'!$A$55,'W2'!D$55))))))))))),0)+ROUND(O18/'W2'!$D$5*'W2'!$D$10*(IF('Subcontract 1'!$D45='W2'!$A$47,'W2'!E$47,IF('Subcontract 1'!$D45='W2'!$A$48,'W2'!E$48,IF('Subcontract 1'!$D45='W2'!$A$49,'W2'!E$49,IF('Subcontract 1'!$D45='W2'!$A$50,'W2'!E$50,IF('Subcontract 1'!$D45='W2'!$A$51,'W2'!E$51,IF('Subcontract 1'!$D45='W2'!$A$52,'W2'!E$52,IF('Subcontract 1'!$D45='W2'!$A$53,'W2'!E$53,IF('Subcontract 1'!$D45='W2'!$A$54,'W2'!E$54,IF('Subcontract 1'!$D45='W2'!$A$55,'W2'!E$55)))))))))),0))))))))</f>
        <v>0</v>
      </c>
      <c r="P45" s="187">
        <f>IF(P18=0,0,IF(AND($D45="F-SMRA",P18=0),0,IF(AND($D45="F-SMRB",P18=0),0,IF(AND($D45="F-SMRC",P18=0),0,IF($D45='W2'!$A$68,'W2'!F311,IF($D45='W2'!$A$69,'W2'!F311,IF($D45='W2'!$A$70,'W2'!F311,ROUND(('Subcontract 1'!P18/'W2'!$E$5*'W2'!$E$9*(IF('Subcontract 1'!$D45='W2'!$A$47,'W2'!F$47,IF('Subcontract 1'!$D45='W2'!$A$48,'W2'!F$48,IF('Subcontract 1'!$D45='W2'!$A$49,'W2'!F$49,IF('Subcontract 1'!$D45='W2'!$A$50,'W2'!F$50,IF('Subcontract 1'!$D45='W2'!$A$51,'W2'!F$51,IF('Subcontract 1'!$D45='W2'!$A$52,'W2'!F$52,IF('Subcontract 1'!$D45='W2'!$A$53,'W2'!F$53,IF('Subcontract 1'!$D45='W2'!$A$54,'W2'!F$54,IF('Subcontract 1'!$D45='W2'!$A$55,'W2'!F$55))))))))))),0)+ROUND(P18/'W2'!$E$5*'W2'!$E$10*(IF('Subcontract 1'!$D45='W2'!$A$47,'W2'!G$47,IF('Subcontract 1'!$D45='W2'!$A$48,'W2'!G$48,IF('Subcontract 1'!$D45='W2'!$A$49,'W2'!G$49,IF('Subcontract 1'!$D45='W2'!$A$50,'W2'!G$50,IF('Subcontract 1'!$D45='W2'!$A$51,'W2'!G$51,IF('Subcontract 1'!$D45='W2'!$A$52,'W2'!G$52,IF('Subcontract 1'!$D45='W2'!$A$53,'W2'!G$53,IF('Subcontract 1'!$D45='W2'!$A$54,'W2'!G$54,IF('Subcontract 1'!$D45='W2'!$A$55,'W2'!G$55)))))))))),0))))))))</f>
        <v>0</v>
      </c>
      <c r="Q45" s="187">
        <f>IF(Q18=0,0,IF(AND($D45="F-SMRA",Q18=0),0,IF(AND($D45="F-SMRB",Q18=0),0,IF(AND($D45="F-SMRC",Q18=0),0,IF($D45='W2'!$A$68,'W2'!H311,IF($D45='W2'!$A$69,'W2'!H311,IF($D45='W2'!$A$70,'W2'!H311,ROUND(('Subcontract 1'!Q18/'W2'!$F$5*'W2'!$F$9*(IF('Subcontract 1'!$D45='W2'!$A$47,'W2'!H$47,IF('Subcontract 1'!$D45='W2'!$A$48,'W2'!H$48,IF('Subcontract 1'!$D45='W2'!$A$49,'W2'!H$49,IF('Subcontract 1'!$D45='W2'!$A$50,'W2'!H$50,IF('Subcontract 1'!$D45='W2'!$A$51,'W2'!H$51,IF('Subcontract 1'!$D45='W2'!$A$52,'W2'!H$52,IF('Subcontract 1'!$D45='W2'!$A$53,'W2'!H$53,IF('Subcontract 1'!$D45='W2'!$A$54,'W2'!H$54,IF('Subcontract 1'!$D45='W2'!$A$55,'W2'!H$55))))))))))),0)+ROUND(Q18/'W2'!$F$5*'W2'!$F$10*(IF('Subcontract 1'!$D45='W2'!$A$47,'W2'!I$47,IF('Subcontract 1'!$D45='W2'!$A$48,'W2'!I$48,IF('Subcontract 1'!$D45='W2'!$A$49,'W2'!I$49,IF('Subcontract 1'!$D45='W2'!$A$50,'W2'!I$50,IF('Subcontract 1'!$D45='W2'!$A$51,'W2'!I$51,IF('Subcontract 1'!$D45='W2'!$A$52,'W2'!I$52,IF('Subcontract 1'!$D45='W2'!$A$53,'W2'!I$53,IF('Subcontract 1'!$D45='W2'!$A$54,'W2'!I$54,IF('Subcontract 1'!$D45='W2'!$A$55,'W2'!I$55)))))))))),0))))))))</f>
        <v>0</v>
      </c>
      <c r="R45" s="187">
        <f>IF(R18=0,0,IF(AND($D45="F-SMRA",R18=0),0,IF(AND($D45="F-SMRB",R18=0),0,IF(AND($D45="F-SMRC",R18=0),0,IF($D45='W2'!$A$68,'W2'!J311,IF($D45='W2'!$A$69,'W2'!J311,IF($D45='W2'!$A$70,'W2'!J311,ROUND(('Subcontract 1'!R18/'W2'!$G$5*'W2'!$G$9*(IF('Subcontract 1'!$D45='W2'!$A$47,'W2'!J$47,IF('Subcontract 1'!$D45='W2'!$A$48,'W2'!J$48,IF('Subcontract 1'!$D45='W2'!$A$49,'W2'!J$49,IF('Subcontract 1'!$D45='W2'!$A$50,'W2'!J$50,IF('Subcontract 1'!$D45='W2'!$A$51,'W2'!J$51,IF('Subcontract 1'!$D45='W2'!$A$52,'W2'!J$52,IF('Subcontract 1'!$D45='W2'!$A$53,'W2'!J$53,IF('Subcontract 1'!$D45='W2'!$A$54,'W2'!J$54,IF('Subcontract 1'!$D45='W2'!$A$55,'W2'!J$55))))))))))),0)+ROUND(R18/'W2'!$G$5*'W2'!$G$10*(IF('Subcontract 1'!$D45='W2'!$A$47,'W2'!K$47,IF('Subcontract 1'!$D45='W2'!$A$48,'W2'!K$48,IF('Subcontract 1'!$D45='W2'!$A$49,'W2'!K$49,IF('Subcontract 1'!$D45='W2'!$A$50,'W2'!K$50,IF('Subcontract 1'!$D45='W2'!$A$51,'W2'!K$51,IF('Subcontract 1'!$D45='W2'!$A$52,'W2'!K$52,IF('Subcontract 1'!$D45='W2'!$A$53,'W2'!K$53,IF('Subcontract 1'!$D45='W2'!$A$54,'W2'!K$54,IF('Subcontract 1'!$D45='W2'!$A$55,'W2'!K$55)))))))))),0))))))))</f>
        <v>0</v>
      </c>
      <c r="S45" s="187">
        <f t="shared" si="6"/>
        <v>0</v>
      </c>
      <c r="T45" s="248"/>
      <c r="U45" s="248"/>
      <c r="V45" s="248"/>
      <c r="W45" s="248"/>
      <c r="X45" s="248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hidden="1" x14ac:dyDescent="0.2">
      <c r="A46" s="92">
        <v>12</v>
      </c>
      <c r="B46" s="381">
        <f t="shared" si="4"/>
        <v>0</v>
      </c>
      <c r="C46" s="382"/>
      <c r="D46" s="199" t="s">
        <v>52</v>
      </c>
      <c r="E46" s="265" t="str">
        <f>IF($D46='W2'!$A$59,'W2'!B$59,IF($D46='W2'!$A$60,'W2'!B$60,IF($D46='W2'!$A$61,'W2'!B$61,IF($D46='W2'!$A$62,'W2'!B$62,IF($D46='W2'!$A$63,'W2'!B$63,IF($D46='W2'!$A$64,'W2'!B$64,IF($D46='W2'!$A$65,'W2'!B$65,IF($D46='W2'!$A$66,'W2'!B$66,IF($D46='W2'!$A$67,'W2'!B$67,IF($D46='W2'!$A$68,'W2'!B286,IF($D46='W2'!$A$69,'W2'!B286,IF($D46='W2'!$A$70,'W2'!B286,IF($D46='W2'!$A$71,"")))))))))))))</f>
        <v/>
      </c>
      <c r="F46" s="378" t="str">
        <f>IF($D46='W2'!$A$59,'W2'!C$59,IF($D46='W2'!$A$60,'W2'!C$60,IF($D46='W2'!$A$61,'W2'!C$61,IF($D46='W2'!$A$62,'W2'!C$62,IF($D46='W2'!$A$63,'W2'!C$63,IF($D46='W2'!$A$64,'W2'!C$64,IF($D46='W2'!$A$65,'W2'!C$65,IF($D46='W2'!$A$66,'W2'!C$66,IF($D46='W2'!$A$67,'W2'!C$67,IF($D46='W2'!$A$68,'W2'!D286,IF($D46='W2'!$A$69,'W2'!D286,IF($D46='W2'!$A$70,'W2'!D286,IF($D46='W2'!$A$71,"")))))))))))))</f>
        <v/>
      </c>
      <c r="G46" s="379"/>
      <c r="H46" s="366" t="str">
        <f>IF($D46='W2'!$A$59,'W2'!D$59,IF($D46='W2'!$A$60,'W2'!D$60,IF($D46='W2'!$A$61,'W2'!D$61,IF($D46='W2'!$A$62,'W2'!D$62,IF($D46='W2'!$A$63,'W2'!D$63,IF($D46='W2'!$A$64,'W2'!D$64,IF($D46='W2'!$A$65,'W2'!D$65,IF($D46='W2'!$A$66,'W2'!D$66,IF($D46='W2'!$A$67,'W2'!D$67,IF($D46='W2'!$A$68,'W2'!F286,IF($D46='W2'!$A$69,'W2'!F286,IF($D46='W2'!$A$70,'W2'!F286,IF($D46='W2'!$A$71,"")))))))))))))</f>
        <v/>
      </c>
      <c r="I46" s="367"/>
      <c r="J46" s="366" t="str">
        <f>IF($D46='W2'!$A$59,'W2'!E$59,IF($D46='W2'!$A$60,'W2'!E$60,IF($D46='W2'!$A$61,'W2'!E$61,IF($D46='W2'!$A$62,'W2'!E$62,IF($D46='W2'!$A$63,'W2'!E$63,IF($D46='W2'!$A$64,'W2'!E$64,IF($D46='W2'!$A$65,'W2'!E$65,IF($D46='W2'!$A$66,'W2'!E$66,IF($D46='W2'!$A$67,'W2'!E$67,IF($D46='W2'!$A$68,'W2'!H286,IF($D46='W2'!$A$69,'W2'!H286,IF($D46='W2'!$A$70,'W2'!H286,IF($D46='W2'!$A$71,"")))))))))))))</f>
        <v/>
      </c>
      <c r="K46" s="367"/>
      <c r="L46" s="366" t="str">
        <f>IF($D46='W2'!$A$59,'W2'!F$59,IF($D46='W2'!$A$60,'W2'!F$60,IF($D46='W2'!$A$61,'W2'!F$61,IF($D46='W2'!$A$62,'W2'!F$62,IF($D46='W2'!$A$63,'W2'!F$63,IF($D46='W2'!$A$64,'W2'!F$64,IF($D46='W2'!$A$65,'W2'!F$65,IF($D46='W2'!$A$66,'W2'!F$66,IF($D46='W2'!$A$67,'W2'!F$67,IF($D46='W2'!$A$68,'W2'!J286,IF($D46='W2'!$A$69,'W2'!J286,IF($D46='W2'!$A$70,'W2'!J286,IF($D46='W2'!$A$71,"")))))))))))))</f>
        <v/>
      </c>
      <c r="M46" s="367"/>
      <c r="N46" s="187">
        <f>IF(N19=0,0,IF(AND($D46="F-SMRA",N19=0),0,IF(AND($D46="F-SMRB",N19=0),0,IF(AND($D46="F-SMRC",N19=0),0,IF($D46='W2'!$A$68,'W2'!B312,IF($D46='W2'!$A$69,'W2'!B312,IF($D46='W2'!$A$70,'W2'!B312,ROUND(('Subcontract 1'!N19/'W2'!$C$5*'W2'!$C$9*(IF('Subcontract 1'!$D46='W2'!$A$47,'W2'!B$47,IF('Subcontract 1'!$D46='W2'!$A$48,'W2'!B$48,IF('Subcontract 1'!$D46='W2'!$A$49,'W2'!B$49,IF('Subcontract 1'!$D46='W2'!$A$50,'W2'!B$50,IF('Subcontract 1'!$D46='W2'!$A$51,'W2'!B$51,IF('Subcontract 1'!$D46='W2'!$A$52,'W2'!B$52,IF('Subcontract 1'!$D46='W2'!$A$53,'W2'!B$53,IF('Subcontract 1'!$D46='W2'!$A$54,'W2'!B$54,IF('Subcontract 1'!$D46='W2'!$A$55,'W2'!B$55))))))))))),0)+ROUND(N19/'W2'!$C$5*'W2'!$C$10*(IF('Subcontract 1'!$D46='W2'!$A$47,'W2'!C$47,IF('Subcontract 1'!$D46='W2'!$A$48,'W2'!C$48,IF('Subcontract 1'!$D46='W2'!$A$49,'W2'!C$49,IF('Subcontract 1'!$D46='W2'!$A$50,'W2'!C$50,IF('Subcontract 1'!$D46='W2'!$A$51,'W2'!C$51,IF('Subcontract 1'!$D46='W2'!$A$52,'W2'!C$52,IF('Subcontract 1'!$D46='W2'!$A$53,'W2'!C$53,IF('Subcontract 1'!$D46='W2'!$A$54,'W2'!C$54,IF('Subcontract 1'!$D46='W2'!$A$55,'W2'!C$55)))))))))),0))))))))</f>
        <v>0</v>
      </c>
      <c r="O46" s="187">
        <f>IF(O19=0,0,IF(AND($D46="F-SMRA",O19=0),0,IF(AND($D46="F-SMRB",O19=0),0,IF(AND($D46="F-SMRC",O19=0),0,IF($D46='W2'!$A$68,'W2'!D312,IF($D46='W2'!$A$69,'W2'!D312,IF($D46='W2'!$A$70,'W2'!D312,ROUND(('Subcontract 1'!O19/'W2'!$D$5*'W2'!$D$9*(IF('Subcontract 1'!$D46='W2'!$A$47,'W2'!D$47,IF('Subcontract 1'!$D46='W2'!$A$48,'W2'!D$48,IF('Subcontract 1'!$D46='W2'!$A$49,'W2'!D$49,IF('Subcontract 1'!$D46='W2'!$A$50,'W2'!D$50,IF('Subcontract 1'!$D46='W2'!$A$51,'W2'!D$51,IF('Subcontract 1'!$D46='W2'!$A$52,'W2'!D$52,IF('Subcontract 1'!$D46='W2'!$A$53,'W2'!D$53,IF('Subcontract 1'!$D46='W2'!$A$54,'W2'!D$54,IF('Subcontract 1'!$D46='W2'!$A$55,'W2'!D$55))))))))))),0)+ROUND(O19/'W2'!$D$5*'W2'!$D$10*(IF('Subcontract 1'!$D46='W2'!$A$47,'W2'!E$47,IF('Subcontract 1'!$D46='W2'!$A$48,'W2'!E$48,IF('Subcontract 1'!$D46='W2'!$A$49,'W2'!E$49,IF('Subcontract 1'!$D46='W2'!$A$50,'W2'!E$50,IF('Subcontract 1'!$D46='W2'!$A$51,'W2'!E$51,IF('Subcontract 1'!$D46='W2'!$A$52,'W2'!E$52,IF('Subcontract 1'!$D46='W2'!$A$53,'W2'!E$53,IF('Subcontract 1'!$D46='W2'!$A$54,'W2'!E$54,IF('Subcontract 1'!$D46='W2'!$A$55,'W2'!E$55)))))))))),0))))))))</f>
        <v>0</v>
      </c>
      <c r="P46" s="187">
        <f>IF(P19=0,0,IF(AND($D46="F-SMRA",P19=0),0,IF(AND($D46="F-SMRB",P19=0),0,IF(AND($D46="F-SMRC",P19=0),0,IF($D46='W2'!$A$68,'W2'!F312,IF($D46='W2'!$A$69,'W2'!F312,IF($D46='W2'!$A$70,'W2'!F312,ROUND(('Subcontract 1'!P19/'W2'!$E$5*'W2'!$E$9*(IF('Subcontract 1'!$D46='W2'!$A$47,'W2'!F$47,IF('Subcontract 1'!$D46='W2'!$A$48,'W2'!F$48,IF('Subcontract 1'!$D46='W2'!$A$49,'W2'!F$49,IF('Subcontract 1'!$D46='W2'!$A$50,'W2'!F$50,IF('Subcontract 1'!$D46='W2'!$A$51,'W2'!F$51,IF('Subcontract 1'!$D46='W2'!$A$52,'W2'!F$52,IF('Subcontract 1'!$D46='W2'!$A$53,'W2'!F$53,IF('Subcontract 1'!$D46='W2'!$A$54,'W2'!F$54,IF('Subcontract 1'!$D46='W2'!$A$55,'W2'!F$55))))))))))),0)+ROUND(P19/'W2'!$E$5*'W2'!$E$10*(IF('Subcontract 1'!$D46='W2'!$A$47,'W2'!G$47,IF('Subcontract 1'!$D46='W2'!$A$48,'W2'!G$48,IF('Subcontract 1'!$D46='W2'!$A$49,'W2'!G$49,IF('Subcontract 1'!$D46='W2'!$A$50,'W2'!G$50,IF('Subcontract 1'!$D46='W2'!$A$51,'W2'!G$51,IF('Subcontract 1'!$D46='W2'!$A$52,'W2'!G$52,IF('Subcontract 1'!$D46='W2'!$A$53,'W2'!G$53,IF('Subcontract 1'!$D46='W2'!$A$54,'W2'!G$54,IF('Subcontract 1'!$D46='W2'!$A$55,'W2'!G$55)))))))))),0))))))))</f>
        <v>0</v>
      </c>
      <c r="Q46" s="187">
        <f>IF(Q19=0,0,IF(AND($D46="F-SMRA",Q19=0),0,IF(AND($D46="F-SMRB",Q19=0),0,IF(AND($D46="F-SMRC",Q19=0),0,IF($D46='W2'!$A$68,'W2'!H312,IF($D46='W2'!$A$69,'W2'!H312,IF($D46='W2'!$A$70,'W2'!H312,ROUND(('Subcontract 1'!Q19/'W2'!$F$5*'W2'!$F$9*(IF('Subcontract 1'!$D46='W2'!$A$47,'W2'!H$47,IF('Subcontract 1'!$D46='W2'!$A$48,'W2'!H$48,IF('Subcontract 1'!$D46='W2'!$A$49,'W2'!H$49,IF('Subcontract 1'!$D46='W2'!$A$50,'W2'!H$50,IF('Subcontract 1'!$D46='W2'!$A$51,'W2'!H$51,IF('Subcontract 1'!$D46='W2'!$A$52,'W2'!H$52,IF('Subcontract 1'!$D46='W2'!$A$53,'W2'!H$53,IF('Subcontract 1'!$D46='W2'!$A$54,'W2'!H$54,IF('Subcontract 1'!$D46='W2'!$A$55,'W2'!H$55))))))))))),0)+ROUND(Q19/'W2'!$F$5*'W2'!$F$10*(IF('Subcontract 1'!$D46='W2'!$A$47,'W2'!I$47,IF('Subcontract 1'!$D46='W2'!$A$48,'W2'!I$48,IF('Subcontract 1'!$D46='W2'!$A$49,'W2'!I$49,IF('Subcontract 1'!$D46='W2'!$A$50,'W2'!I$50,IF('Subcontract 1'!$D46='W2'!$A$51,'W2'!I$51,IF('Subcontract 1'!$D46='W2'!$A$52,'W2'!I$52,IF('Subcontract 1'!$D46='W2'!$A$53,'W2'!I$53,IF('Subcontract 1'!$D46='W2'!$A$54,'W2'!I$54,IF('Subcontract 1'!$D46='W2'!$A$55,'W2'!I$55)))))))))),0))))))))</f>
        <v>0</v>
      </c>
      <c r="R46" s="187">
        <f>IF(R19=0,0,IF(AND($D46="F-SMRA",R19=0),0,IF(AND($D46="F-SMRB",R19=0),0,IF(AND($D46="F-SMRC",R19=0),0,IF($D46='W2'!$A$68,'W2'!J312,IF($D46='W2'!$A$69,'W2'!J312,IF($D46='W2'!$A$70,'W2'!J312,ROUND(('Subcontract 1'!R19/'W2'!$G$5*'W2'!$G$9*(IF('Subcontract 1'!$D46='W2'!$A$47,'W2'!J$47,IF('Subcontract 1'!$D46='W2'!$A$48,'W2'!J$48,IF('Subcontract 1'!$D46='W2'!$A$49,'W2'!J$49,IF('Subcontract 1'!$D46='W2'!$A$50,'W2'!J$50,IF('Subcontract 1'!$D46='W2'!$A$51,'W2'!J$51,IF('Subcontract 1'!$D46='W2'!$A$52,'W2'!J$52,IF('Subcontract 1'!$D46='W2'!$A$53,'W2'!J$53,IF('Subcontract 1'!$D46='W2'!$A$54,'W2'!J$54,IF('Subcontract 1'!$D46='W2'!$A$55,'W2'!J$55))))))))))),0)+ROUND(R19/'W2'!$G$5*'W2'!$G$10*(IF('Subcontract 1'!$D46='W2'!$A$47,'W2'!K$47,IF('Subcontract 1'!$D46='W2'!$A$48,'W2'!K$48,IF('Subcontract 1'!$D46='W2'!$A$49,'W2'!K$49,IF('Subcontract 1'!$D46='W2'!$A$50,'W2'!K$50,IF('Subcontract 1'!$D46='W2'!$A$51,'W2'!K$51,IF('Subcontract 1'!$D46='W2'!$A$52,'W2'!K$52,IF('Subcontract 1'!$D46='W2'!$A$53,'W2'!K$53,IF('Subcontract 1'!$D46='W2'!$A$54,'W2'!K$54,IF('Subcontract 1'!$D46='W2'!$A$55,'W2'!K$55)))))))))),0))))))))</f>
        <v>0</v>
      </c>
      <c r="S46" s="187">
        <f t="shared" si="6"/>
        <v>0</v>
      </c>
      <c r="T46" s="248"/>
      <c r="U46" s="248"/>
      <c r="V46" s="248"/>
      <c r="W46" s="248"/>
      <c r="X46" s="248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hidden="1" x14ac:dyDescent="0.2">
      <c r="A47" s="92">
        <v>13</v>
      </c>
      <c r="B47" s="381">
        <f t="shared" si="4"/>
        <v>0</v>
      </c>
      <c r="C47" s="382"/>
      <c r="D47" s="199" t="s">
        <v>52</v>
      </c>
      <c r="E47" s="265" t="str">
        <f>IF($D47='W2'!$A$59,'W2'!B$59,IF($D47='W2'!$A$60,'W2'!B$60,IF($D47='W2'!$A$61,'W2'!B$61,IF($D47='W2'!$A$62,'W2'!B$62,IF($D47='W2'!$A$63,'W2'!B$63,IF($D47='W2'!$A$64,'W2'!B$64,IF($D47='W2'!$A$65,'W2'!B$65,IF($D47='W2'!$A$66,'W2'!B$66,IF($D47='W2'!$A$67,'W2'!B$67,IF($D47='W2'!$A$68,'W2'!B287,IF($D47='W2'!$A$69,'W2'!B287,IF($D47='W2'!$A$70,'W2'!B287,IF($D47='W2'!$A$71,"")))))))))))))</f>
        <v/>
      </c>
      <c r="F47" s="378" t="str">
        <f>IF($D47='W2'!$A$59,'W2'!C$59,IF($D47='W2'!$A$60,'W2'!C$60,IF($D47='W2'!$A$61,'W2'!C$61,IF($D47='W2'!$A$62,'W2'!C$62,IF($D47='W2'!$A$63,'W2'!C$63,IF($D47='W2'!$A$64,'W2'!C$64,IF($D47='W2'!$A$65,'W2'!C$65,IF($D47='W2'!$A$66,'W2'!C$66,IF($D47='W2'!$A$67,'W2'!C$67,IF($D47='W2'!$A$68,'W2'!D287,IF($D47='W2'!$A$69,'W2'!D287,IF($D47='W2'!$A$70,'W2'!D287,IF($D47='W2'!$A$71,"")))))))))))))</f>
        <v/>
      </c>
      <c r="G47" s="379"/>
      <c r="H47" s="366" t="str">
        <f>IF($D47='W2'!$A$59,'W2'!D$59,IF($D47='W2'!$A$60,'W2'!D$60,IF($D47='W2'!$A$61,'W2'!D$61,IF($D47='W2'!$A$62,'W2'!D$62,IF($D47='W2'!$A$63,'W2'!D$63,IF($D47='W2'!$A$64,'W2'!D$64,IF($D47='W2'!$A$65,'W2'!D$65,IF($D47='W2'!$A$66,'W2'!D$66,IF($D47='W2'!$A$67,'W2'!D$67,IF($D47='W2'!$A$68,'W2'!F287,IF($D47='W2'!$A$69,'W2'!F287,IF($D47='W2'!$A$70,'W2'!F287,IF($D47='W2'!$A$71,"")))))))))))))</f>
        <v/>
      </c>
      <c r="I47" s="367"/>
      <c r="J47" s="366" t="str">
        <f>IF($D47='W2'!$A$59,'W2'!E$59,IF($D47='W2'!$A$60,'W2'!E$60,IF($D47='W2'!$A$61,'W2'!E$61,IF($D47='W2'!$A$62,'W2'!E$62,IF($D47='W2'!$A$63,'W2'!E$63,IF($D47='W2'!$A$64,'W2'!E$64,IF($D47='W2'!$A$65,'W2'!E$65,IF($D47='W2'!$A$66,'W2'!E$66,IF($D47='W2'!$A$67,'W2'!E$67,IF($D47='W2'!$A$68,'W2'!H287,IF($D47='W2'!$A$69,'W2'!H287,IF($D47='W2'!$A$70,'W2'!H287,IF($D47='W2'!$A$71,"")))))))))))))</f>
        <v/>
      </c>
      <c r="K47" s="367"/>
      <c r="L47" s="366" t="str">
        <f>IF($D47='W2'!$A$59,'W2'!F$59,IF($D47='W2'!$A$60,'W2'!F$60,IF($D47='W2'!$A$61,'W2'!F$61,IF($D47='W2'!$A$62,'W2'!F$62,IF($D47='W2'!$A$63,'W2'!F$63,IF($D47='W2'!$A$64,'W2'!F$64,IF($D47='W2'!$A$65,'W2'!F$65,IF($D47='W2'!$A$66,'W2'!F$66,IF($D47='W2'!$A$67,'W2'!F$67,IF($D47='W2'!$A$68,'W2'!J287,IF($D47='W2'!$A$69,'W2'!J287,IF($D47='W2'!$A$70,'W2'!J287,IF($D47='W2'!$A$71,"")))))))))))))</f>
        <v/>
      </c>
      <c r="M47" s="367"/>
      <c r="N47" s="187">
        <f>IF(N20=0,0,IF(AND($D47="F-SMRA",N20=0),0,IF(AND($D47="F-SMRB",N20=0),0,IF(AND($D47="F-SMRC",N20=0),0,IF($D47='W2'!$A$68,'W2'!B313,IF($D47='W2'!$A$69,'W2'!B313,IF($D47='W2'!$A$70,'W2'!B313,ROUND(('Subcontract 1'!N20/'W2'!$C$5*'W2'!$C$9*(IF('Subcontract 1'!$D47='W2'!$A$47,'W2'!B$47,IF('Subcontract 1'!$D47='W2'!$A$48,'W2'!B$48,IF('Subcontract 1'!$D47='W2'!$A$49,'W2'!B$49,IF('Subcontract 1'!$D47='W2'!$A$50,'W2'!B$50,IF('Subcontract 1'!$D47='W2'!$A$51,'W2'!B$51,IF('Subcontract 1'!$D47='W2'!$A$52,'W2'!B$52,IF('Subcontract 1'!$D47='W2'!$A$53,'W2'!B$53,IF('Subcontract 1'!$D47='W2'!$A$54,'W2'!B$54,IF('Subcontract 1'!$D47='W2'!$A$55,'W2'!B$55))))))))))),0)+ROUND(N20/'W2'!$C$5*'W2'!$C$10*(IF('Subcontract 1'!$D47='W2'!$A$47,'W2'!C$47,IF('Subcontract 1'!$D47='W2'!$A$48,'W2'!C$48,IF('Subcontract 1'!$D47='W2'!$A$49,'W2'!C$49,IF('Subcontract 1'!$D47='W2'!$A$50,'W2'!C$50,IF('Subcontract 1'!$D47='W2'!$A$51,'W2'!C$51,IF('Subcontract 1'!$D47='W2'!$A$52,'W2'!C$52,IF('Subcontract 1'!$D47='W2'!$A$53,'W2'!C$53,IF('Subcontract 1'!$D47='W2'!$A$54,'W2'!C$54,IF('Subcontract 1'!$D47='W2'!$A$55,'W2'!C$55)))))))))),0))))))))</f>
        <v>0</v>
      </c>
      <c r="O47" s="187">
        <f>IF(O20=0,0,IF(AND($D47="F-SMRA",O20=0),0,IF(AND($D47="F-SMRB",O20=0),0,IF(AND($D47="F-SMRC",O20=0),0,IF($D47='W2'!$A$68,'W2'!D313,IF($D47='W2'!$A$69,'W2'!D313,IF($D47='W2'!$A$70,'W2'!D313,ROUND(('Subcontract 1'!O20/'W2'!$D$5*'W2'!$D$9*(IF('Subcontract 1'!$D47='W2'!$A$47,'W2'!D$47,IF('Subcontract 1'!$D47='W2'!$A$48,'W2'!D$48,IF('Subcontract 1'!$D47='W2'!$A$49,'W2'!D$49,IF('Subcontract 1'!$D47='W2'!$A$50,'W2'!D$50,IF('Subcontract 1'!$D47='W2'!$A$51,'W2'!D$51,IF('Subcontract 1'!$D47='W2'!$A$52,'W2'!D$52,IF('Subcontract 1'!$D47='W2'!$A$53,'W2'!D$53,IF('Subcontract 1'!$D47='W2'!$A$54,'W2'!D$54,IF('Subcontract 1'!$D47='W2'!$A$55,'W2'!D$55))))))))))),0)+ROUND(O20/'W2'!$D$5*'W2'!$D$10*(IF('Subcontract 1'!$D47='W2'!$A$47,'W2'!E$47,IF('Subcontract 1'!$D47='W2'!$A$48,'W2'!E$48,IF('Subcontract 1'!$D47='W2'!$A$49,'W2'!E$49,IF('Subcontract 1'!$D47='W2'!$A$50,'W2'!E$50,IF('Subcontract 1'!$D47='W2'!$A$51,'W2'!E$51,IF('Subcontract 1'!$D47='W2'!$A$52,'W2'!E$52,IF('Subcontract 1'!$D47='W2'!$A$53,'W2'!E$53,IF('Subcontract 1'!$D47='W2'!$A$54,'W2'!E$54,IF('Subcontract 1'!$D47='W2'!$A$55,'W2'!E$55)))))))))),0))))))))</f>
        <v>0</v>
      </c>
      <c r="P47" s="187">
        <f>IF(P20=0,0,IF(AND($D47="F-SMRA",P20=0),0,IF(AND($D47="F-SMRB",P20=0),0,IF(AND($D47="F-SMRC",P20=0),0,IF($D47='W2'!$A$68,'W2'!F313,IF($D47='W2'!$A$69,'W2'!F313,IF($D47='W2'!$A$70,'W2'!F313,ROUND(('Subcontract 1'!P20/'W2'!$E$5*'W2'!$E$9*(IF('Subcontract 1'!$D47='W2'!$A$47,'W2'!F$47,IF('Subcontract 1'!$D47='W2'!$A$48,'W2'!F$48,IF('Subcontract 1'!$D47='W2'!$A$49,'W2'!F$49,IF('Subcontract 1'!$D47='W2'!$A$50,'W2'!F$50,IF('Subcontract 1'!$D47='W2'!$A$51,'W2'!F$51,IF('Subcontract 1'!$D47='W2'!$A$52,'W2'!F$52,IF('Subcontract 1'!$D47='W2'!$A$53,'W2'!F$53,IF('Subcontract 1'!$D47='W2'!$A$54,'W2'!F$54,IF('Subcontract 1'!$D47='W2'!$A$55,'W2'!F$55))))))))))),0)+ROUND(P20/'W2'!$E$5*'W2'!$E$10*(IF('Subcontract 1'!$D47='W2'!$A$47,'W2'!G$47,IF('Subcontract 1'!$D47='W2'!$A$48,'W2'!G$48,IF('Subcontract 1'!$D47='W2'!$A$49,'W2'!G$49,IF('Subcontract 1'!$D47='W2'!$A$50,'W2'!G$50,IF('Subcontract 1'!$D47='W2'!$A$51,'W2'!G$51,IF('Subcontract 1'!$D47='W2'!$A$52,'W2'!G$52,IF('Subcontract 1'!$D47='W2'!$A$53,'W2'!G$53,IF('Subcontract 1'!$D47='W2'!$A$54,'W2'!G$54,IF('Subcontract 1'!$D47='W2'!$A$55,'W2'!G$55)))))))))),0))))))))</f>
        <v>0</v>
      </c>
      <c r="Q47" s="187">
        <f>IF(Q20=0,0,IF(AND($D47="F-SMRA",Q20=0),0,IF(AND($D47="F-SMRB",Q20=0),0,IF(AND($D47="F-SMRC",Q20=0),0,IF($D47='W2'!$A$68,'W2'!H313,IF($D47='W2'!$A$69,'W2'!H313,IF($D47='W2'!$A$70,'W2'!H313,ROUND(('Subcontract 1'!Q20/'W2'!$F$5*'W2'!$F$9*(IF('Subcontract 1'!$D47='W2'!$A$47,'W2'!H$47,IF('Subcontract 1'!$D47='W2'!$A$48,'W2'!H$48,IF('Subcontract 1'!$D47='W2'!$A$49,'W2'!H$49,IF('Subcontract 1'!$D47='W2'!$A$50,'W2'!H$50,IF('Subcontract 1'!$D47='W2'!$A$51,'W2'!H$51,IF('Subcontract 1'!$D47='W2'!$A$52,'W2'!H$52,IF('Subcontract 1'!$D47='W2'!$A$53,'W2'!H$53,IF('Subcontract 1'!$D47='W2'!$A$54,'W2'!H$54,IF('Subcontract 1'!$D47='W2'!$A$55,'W2'!H$55))))))))))),0)+ROUND(Q20/'W2'!$F$5*'W2'!$F$10*(IF('Subcontract 1'!$D47='W2'!$A$47,'W2'!I$47,IF('Subcontract 1'!$D47='W2'!$A$48,'W2'!I$48,IF('Subcontract 1'!$D47='W2'!$A$49,'W2'!I$49,IF('Subcontract 1'!$D47='W2'!$A$50,'W2'!I$50,IF('Subcontract 1'!$D47='W2'!$A$51,'W2'!I$51,IF('Subcontract 1'!$D47='W2'!$A$52,'W2'!I$52,IF('Subcontract 1'!$D47='W2'!$A$53,'W2'!I$53,IF('Subcontract 1'!$D47='W2'!$A$54,'W2'!I$54,IF('Subcontract 1'!$D47='W2'!$A$55,'W2'!I$55)))))))))),0))))))))</f>
        <v>0</v>
      </c>
      <c r="R47" s="187">
        <f>IF(R20=0,0,IF(AND($D47="F-SMRA",R20=0),0,IF(AND($D47="F-SMRB",R20=0),0,IF(AND($D47="F-SMRC",R20=0),0,IF($D47='W2'!$A$68,'W2'!J313,IF($D47='W2'!$A$69,'W2'!J313,IF($D47='W2'!$A$70,'W2'!J313,ROUND(('Subcontract 1'!R20/'W2'!$G$5*'W2'!$G$9*(IF('Subcontract 1'!$D47='W2'!$A$47,'W2'!J$47,IF('Subcontract 1'!$D47='W2'!$A$48,'W2'!J$48,IF('Subcontract 1'!$D47='W2'!$A$49,'W2'!J$49,IF('Subcontract 1'!$D47='W2'!$A$50,'W2'!J$50,IF('Subcontract 1'!$D47='W2'!$A$51,'W2'!J$51,IF('Subcontract 1'!$D47='W2'!$A$52,'W2'!J$52,IF('Subcontract 1'!$D47='W2'!$A$53,'W2'!J$53,IF('Subcontract 1'!$D47='W2'!$A$54,'W2'!J$54,IF('Subcontract 1'!$D47='W2'!$A$55,'W2'!J$55))))))))))),0)+ROUND(R20/'W2'!$G$5*'W2'!$G$10*(IF('Subcontract 1'!$D47='W2'!$A$47,'W2'!K$47,IF('Subcontract 1'!$D47='W2'!$A$48,'W2'!K$48,IF('Subcontract 1'!$D47='W2'!$A$49,'W2'!K$49,IF('Subcontract 1'!$D47='W2'!$A$50,'W2'!K$50,IF('Subcontract 1'!$D47='W2'!$A$51,'W2'!K$51,IF('Subcontract 1'!$D47='W2'!$A$52,'W2'!K$52,IF('Subcontract 1'!$D47='W2'!$A$53,'W2'!K$53,IF('Subcontract 1'!$D47='W2'!$A$54,'W2'!K$54,IF('Subcontract 1'!$D47='W2'!$A$55,'W2'!K$55)))))))))),0))))))))</f>
        <v>0</v>
      </c>
      <c r="S47" s="187">
        <f t="shared" si="6"/>
        <v>0</v>
      </c>
      <c r="T47" s="248"/>
      <c r="U47" s="248"/>
      <c r="V47" s="248"/>
      <c r="W47" s="248"/>
      <c r="X47" s="248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idden="1" x14ac:dyDescent="0.2">
      <c r="A48" s="92">
        <v>14</v>
      </c>
      <c r="B48" s="381">
        <f t="shared" si="4"/>
        <v>0</v>
      </c>
      <c r="C48" s="382"/>
      <c r="D48" s="199" t="s">
        <v>52</v>
      </c>
      <c r="E48" s="265" t="str">
        <f>IF($D48='W2'!$A$59,'W2'!B$59,IF($D48='W2'!$A$60,'W2'!B$60,IF($D48='W2'!$A$61,'W2'!B$61,IF($D48='W2'!$A$62,'W2'!B$62,IF($D48='W2'!$A$63,'W2'!B$63,IF($D48='W2'!$A$64,'W2'!B$64,IF($D48='W2'!$A$65,'W2'!B$65,IF($D48='W2'!$A$66,'W2'!B$66,IF($D48='W2'!$A$67,'W2'!B$67,IF($D48='W2'!$A$68,'W2'!B288,IF($D48='W2'!$A$69,'W2'!B288,IF($D48='W2'!$A$70,'W2'!B288,IF($D48='W2'!$A$71,"")))))))))))))</f>
        <v/>
      </c>
      <c r="F48" s="378" t="str">
        <f>IF($D48='W2'!$A$59,'W2'!C$59,IF($D48='W2'!$A$60,'W2'!C$60,IF($D48='W2'!$A$61,'W2'!C$61,IF($D48='W2'!$A$62,'W2'!C$62,IF($D48='W2'!$A$63,'W2'!C$63,IF($D48='W2'!$A$64,'W2'!C$64,IF($D48='W2'!$A$65,'W2'!C$65,IF($D48='W2'!$A$66,'W2'!C$66,IF($D48='W2'!$A$67,'W2'!C$67,IF($D48='W2'!$A$68,'W2'!D288,IF($D48='W2'!$A$69,'W2'!D288,IF($D48='W2'!$A$70,'W2'!D288,IF($D48='W2'!$A$71,"")))))))))))))</f>
        <v/>
      </c>
      <c r="G48" s="379"/>
      <c r="H48" s="366" t="str">
        <f>IF($D48='W2'!$A$59,'W2'!D$59,IF($D48='W2'!$A$60,'W2'!D$60,IF($D48='W2'!$A$61,'W2'!D$61,IF($D48='W2'!$A$62,'W2'!D$62,IF($D48='W2'!$A$63,'W2'!D$63,IF($D48='W2'!$A$64,'W2'!D$64,IF($D48='W2'!$A$65,'W2'!D$65,IF($D48='W2'!$A$66,'W2'!D$66,IF($D48='W2'!$A$67,'W2'!D$67,IF($D48='W2'!$A$68,'W2'!F288,IF($D48='W2'!$A$69,'W2'!F288,IF($D48='W2'!$A$70,'W2'!F288,IF($D48='W2'!$A$71,"")))))))))))))</f>
        <v/>
      </c>
      <c r="I48" s="367"/>
      <c r="J48" s="366" t="str">
        <f>IF($D48='W2'!$A$59,'W2'!E$59,IF($D48='W2'!$A$60,'W2'!E$60,IF($D48='W2'!$A$61,'W2'!E$61,IF($D48='W2'!$A$62,'W2'!E$62,IF($D48='W2'!$A$63,'W2'!E$63,IF($D48='W2'!$A$64,'W2'!E$64,IF($D48='W2'!$A$65,'W2'!E$65,IF($D48='W2'!$A$66,'W2'!E$66,IF($D48='W2'!$A$67,'W2'!E$67,IF($D48='W2'!$A$68,'W2'!H288,IF($D48='W2'!$A$69,'W2'!H288,IF($D48='W2'!$A$70,'W2'!H288,IF($D48='W2'!$A$71,"")))))))))))))</f>
        <v/>
      </c>
      <c r="K48" s="367"/>
      <c r="L48" s="366" t="str">
        <f>IF($D48='W2'!$A$59,'W2'!F$59,IF($D48='W2'!$A$60,'W2'!F$60,IF($D48='W2'!$A$61,'W2'!F$61,IF($D48='W2'!$A$62,'W2'!F$62,IF($D48='W2'!$A$63,'W2'!F$63,IF($D48='W2'!$A$64,'W2'!F$64,IF($D48='W2'!$A$65,'W2'!F$65,IF($D48='W2'!$A$66,'W2'!F$66,IF($D48='W2'!$A$67,'W2'!F$67,IF($D48='W2'!$A$68,'W2'!J288,IF($D48='W2'!$A$69,'W2'!J288,IF($D48='W2'!$A$70,'W2'!J288,IF($D48='W2'!$A$71,"")))))))))))))</f>
        <v/>
      </c>
      <c r="M48" s="367"/>
      <c r="N48" s="187">
        <f>IF(N21=0,0,IF(AND($D48="F-SMRA",N21=0),0,IF(AND($D48="F-SMRB",N21=0),0,IF(AND($D48="F-SMRC",N21=0),0,IF($D48='W2'!$A$68,'W2'!B314,IF($D48='W2'!$A$69,'W2'!B314,IF($D48='W2'!$A$70,'W2'!B314,ROUND(('Subcontract 1'!N21/'W2'!$C$5*'W2'!$C$9*(IF('Subcontract 1'!$D48='W2'!$A$47,'W2'!B$47,IF('Subcontract 1'!$D48='W2'!$A$48,'W2'!B$48,IF('Subcontract 1'!$D48='W2'!$A$49,'W2'!B$49,IF('Subcontract 1'!$D48='W2'!$A$50,'W2'!B$50,IF('Subcontract 1'!$D48='W2'!$A$51,'W2'!B$51,IF('Subcontract 1'!$D48='W2'!$A$52,'W2'!B$52,IF('Subcontract 1'!$D48='W2'!$A$53,'W2'!B$53,IF('Subcontract 1'!$D48='W2'!$A$54,'W2'!B$54,IF('Subcontract 1'!$D48='W2'!$A$55,'W2'!B$55))))))))))),0)+ROUND(N21/'W2'!$C$5*'W2'!$C$10*(IF('Subcontract 1'!$D48='W2'!$A$47,'W2'!C$47,IF('Subcontract 1'!$D48='W2'!$A$48,'W2'!C$48,IF('Subcontract 1'!$D48='W2'!$A$49,'W2'!C$49,IF('Subcontract 1'!$D48='W2'!$A$50,'W2'!C$50,IF('Subcontract 1'!$D48='W2'!$A$51,'W2'!C$51,IF('Subcontract 1'!$D48='W2'!$A$52,'W2'!C$52,IF('Subcontract 1'!$D48='W2'!$A$53,'W2'!C$53,IF('Subcontract 1'!$D48='W2'!$A$54,'W2'!C$54,IF('Subcontract 1'!$D48='W2'!$A$55,'W2'!C$55)))))))))),0))))))))</f>
        <v>0</v>
      </c>
      <c r="O48" s="187">
        <f>IF(O21=0,0,IF(AND($D48="F-SMRA",O21=0),0,IF(AND($D48="F-SMRB",O21=0),0,IF(AND($D48="F-SMRC",O21=0),0,IF($D48='W2'!$A$68,'W2'!D314,IF($D48='W2'!$A$69,'W2'!D314,IF($D48='W2'!$A$70,'W2'!D314,ROUND(('Subcontract 1'!O21/'W2'!$D$5*'W2'!$D$9*(IF('Subcontract 1'!$D48='W2'!$A$47,'W2'!D$47,IF('Subcontract 1'!$D48='W2'!$A$48,'W2'!D$48,IF('Subcontract 1'!$D48='W2'!$A$49,'W2'!D$49,IF('Subcontract 1'!$D48='W2'!$A$50,'W2'!D$50,IF('Subcontract 1'!$D48='W2'!$A$51,'W2'!D$51,IF('Subcontract 1'!$D48='W2'!$A$52,'W2'!D$52,IF('Subcontract 1'!$D48='W2'!$A$53,'W2'!D$53,IF('Subcontract 1'!$D48='W2'!$A$54,'W2'!D$54,IF('Subcontract 1'!$D48='W2'!$A$55,'W2'!D$55))))))))))),0)+ROUND(O21/'W2'!$D$5*'W2'!$D$10*(IF('Subcontract 1'!$D48='W2'!$A$47,'W2'!E$47,IF('Subcontract 1'!$D48='W2'!$A$48,'W2'!E$48,IF('Subcontract 1'!$D48='W2'!$A$49,'W2'!E$49,IF('Subcontract 1'!$D48='W2'!$A$50,'W2'!E$50,IF('Subcontract 1'!$D48='W2'!$A$51,'W2'!E$51,IF('Subcontract 1'!$D48='W2'!$A$52,'W2'!E$52,IF('Subcontract 1'!$D48='W2'!$A$53,'W2'!E$53,IF('Subcontract 1'!$D48='W2'!$A$54,'W2'!E$54,IF('Subcontract 1'!$D48='W2'!$A$55,'W2'!E$55)))))))))),0))))))))</f>
        <v>0</v>
      </c>
      <c r="P48" s="187">
        <f>IF(P21=0,0,IF(AND($D48="F-SMRA",P21=0),0,IF(AND($D48="F-SMRB",P21=0),0,IF(AND($D48="F-SMRC",P21=0),0,IF($D48='W2'!$A$68,'W2'!F314,IF($D48='W2'!$A$69,'W2'!F314,IF($D48='W2'!$A$70,'W2'!F314,ROUND(('Subcontract 1'!P21/'W2'!$E$5*'W2'!$E$9*(IF('Subcontract 1'!$D48='W2'!$A$47,'W2'!F$47,IF('Subcontract 1'!$D48='W2'!$A$48,'W2'!F$48,IF('Subcontract 1'!$D48='W2'!$A$49,'W2'!F$49,IF('Subcontract 1'!$D48='W2'!$A$50,'W2'!F$50,IF('Subcontract 1'!$D48='W2'!$A$51,'W2'!F$51,IF('Subcontract 1'!$D48='W2'!$A$52,'W2'!F$52,IF('Subcontract 1'!$D48='W2'!$A$53,'W2'!F$53,IF('Subcontract 1'!$D48='W2'!$A$54,'W2'!F$54,IF('Subcontract 1'!$D48='W2'!$A$55,'W2'!F$55))))))))))),0)+ROUND(P21/'W2'!$E$5*'W2'!$E$10*(IF('Subcontract 1'!$D48='W2'!$A$47,'W2'!G$47,IF('Subcontract 1'!$D48='W2'!$A$48,'W2'!G$48,IF('Subcontract 1'!$D48='W2'!$A$49,'W2'!G$49,IF('Subcontract 1'!$D48='W2'!$A$50,'W2'!G$50,IF('Subcontract 1'!$D48='W2'!$A$51,'W2'!G$51,IF('Subcontract 1'!$D48='W2'!$A$52,'W2'!G$52,IF('Subcontract 1'!$D48='W2'!$A$53,'W2'!G$53,IF('Subcontract 1'!$D48='W2'!$A$54,'W2'!G$54,IF('Subcontract 1'!$D48='W2'!$A$55,'W2'!G$55)))))))))),0))))))))</f>
        <v>0</v>
      </c>
      <c r="Q48" s="187">
        <f>IF(Q21=0,0,IF(AND($D48="F-SMRA",Q21=0),0,IF(AND($D48="F-SMRB",Q21=0),0,IF(AND($D48="F-SMRC",Q21=0),0,IF($D48='W2'!$A$68,'W2'!H314,IF($D48='W2'!$A$69,'W2'!H314,IF($D48='W2'!$A$70,'W2'!H314,ROUND(('Subcontract 1'!Q21/'W2'!$F$5*'W2'!$F$9*(IF('Subcontract 1'!$D48='W2'!$A$47,'W2'!H$47,IF('Subcontract 1'!$D48='W2'!$A$48,'W2'!H$48,IF('Subcontract 1'!$D48='W2'!$A$49,'W2'!H$49,IF('Subcontract 1'!$D48='W2'!$A$50,'W2'!H$50,IF('Subcontract 1'!$D48='W2'!$A$51,'W2'!H$51,IF('Subcontract 1'!$D48='W2'!$A$52,'W2'!H$52,IF('Subcontract 1'!$D48='W2'!$A$53,'W2'!H$53,IF('Subcontract 1'!$D48='W2'!$A$54,'W2'!H$54,IF('Subcontract 1'!$D48='W2'!$A$55,'W2'!H$55))))))))))),0)+ROUND(Q21/'W2'!$F$5*'W2'!$F$10*(IF('Subcontract 1'!$D48='W2'!$A$47,'W2'!I$47,IF('Subcontract 1'!$D48='W2'!$A$48,'W2'!I$48,IF('Subcontract 1'!$D48='W2'!$A$49,'W2'!I$49,IF('Subcontract 1'!$D48='W2'!$A$50,'W2'!I$50,IF('Subcontract 1'!$D48='W2'!$A$51,'W2'!I$51,IF('Subcontract 1'!$D48='W2'!$A$52,'W2'!I$52,IF('Subcontract 1'!$D48='W2'!$A$53,'W2'!I$53,IF('Subcontract 1'!$D48='W2'!$A$54,'W2'!I$54,IF('Subcontract 1'!$D48='W2'!$A$55,'W2'!I$55)))))))))),0))))))))</f>
        <v>0</v>
      </c>
      <c r="R48" s="187">
        <f>IF(R21=0,0,IF(AND($D48="F-SMRA",R21=0),0,IF(AND($D48="F-SMRB",R21=0),0,IF(AND($D48="F-SMRC",R21=0),0,IF($D48='W2'!$A$68,'W2'!J314,IF($D48='W2'!$A$69,'W2'!J314,IF($D48='W2'!$A$70,'W2'!J314,ROUND(('Subcontract 1'!R21/'W2'!$G$5*'W2'!$G$9*(IF('Subcontract 1'!$D48='W2'!$A$47,'W2'!J$47,IF('Subcontract 1'!$D48='W2'!$A$48,'W2'!J$48,IF('Subcontract 1'!$D48='W2'!$A$49,'W2'!J$49,IF('Subcontract 1'!$D48='W2'!$A$50,'W2'!J$50,IF('Subcontract 1'!$D48='W2'!$A$51,'W2'!J$51,IF('Subcontract 1'!$D48='W2'!$A$52,'W2'!J$52,IF('Subcontract 1'!$D48='W2'!$A$53,'W2'!J$53,IF('Subcontract 1'!$D48='W2'!$A$54,'W2'!J$54,IF('Subcontract 1'!$D48='W2'!$A$55,'W2'!J$55))))))))))),0)+ROUND(R21/'W2'!$G$5*'W2'!$G$10*(IF('Subcontract 1'!$D48='W2'!$A$47,'W2'!K$47,IF('Subcontract 1'!$D48='W2'!$A$48,'W2'!K$48,IF('Subcontract 1'!$D48='W2'!$A$49,'W2'!K$49,IF('Subcontract 1'!$D48='W2'!$A$50,'W2'!K$50,IF('Subcontract 1'!$D48='W2'!$A$51,'W2'!K$51,IF('Subcontract 1'!$D48='W2'!$A$52,'W2'!K$52,IF('Subcontract 1'!$D48='W2'!$A$53,'W2'!K$53,IF('Subcontract 1'!$D48='W2'!$A$54,'W2'!K$54,IF('Subcontract 1'!$D48='W2'!$A$55,'W2'!K$55)))))))))),0))))))))</f>
        <v>0</v>
      </c>
      <c r="S48" s="187">
        <f t="shared" si="6"/>
        <v>0</v>
      </c>
      <c r="T48" s="248"/>
      <c r="U48" s="248"/>
      <c r="V48" s="248"/>
      <c r="W48" s="248"/>
      <c r="X48" s="248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idden="1" x14ac:dyDescent="0.2">
      <c r="A49" s="92">
        <v>15</v>
      </c>
      <c r="B49" s="381">
        <f t="shared" si="4"/>
        <v>0</v>
      </c>
      <c r="C49" s="382"/>
      <c r="D49" s="199" t="s">
        <v>52</v>
      </c>
      <c r="E49" s="265" t="str">
        <f>IF($D49='W2'!$A$59,'W2'!B$59,IF($D49='W2'!$A$60,'W2'!B$60,IF($D49='W2'!$A$61,'W2'!B$61,IF($D49='W2'!$A$62,'W2'!B$62,IF($D49='W2'!$A$63,'W2'!B$63,IF($D49='W2'!$A$64,'W2'!B$64,IF($D49='W2'!$A$65,'W2'!B$65,IF($D49='W2'!$A$66,'W2'!B$66,IF($D49='W2'!$A$67,'W2'!B$67,IF($D49='W2'!$A$68,'W2'!B289,IF($D49='W2'!$A$69,'W2'!B289,IF($D49='W2'!$A$70,'W2'!B289,IF($D49='W2'!$A$71,"")))))))))))))</f>
        <v/>
      </c>
      <c r="F49" s="378" t="str">
        <f>IF($D49='W2'!$A$59,'W2'!C$59,IF($D49='W2'!$A$60,'W2'!C$60,IF($D49='W2'!$A$61,'W2'!C$61,IF($D49='W2'!$A$62,'W2'!C$62,IF($D49='W2'!$A$63,'W2'!C$63,IF($D49='W2'!$A$64,'W2'!C$64,IF($D49='W2'!$A$65,'W2'!C$65,IF($D49='W2'!$A$66,'W2'!C$66,IF($D49='W2'!$A$67,'W2'!C$67,IF($D49='W2'!$A$68,'W2'!D289,IF($D49='W2'!$A$69,'W2'!D289,IF($D49='W2'!$A$70,'W2'!D289,IF($D49='W2'!$A$71,"")))))))))))))</f>
        <v/>
      </c>
      <c r="G49" s="379"/>
      <c r="H49" s="366" t="str">
        <f>IF($D49='W2'!$A$59,'W2'!D$59,IF($D49='W2'!$A$60,'W2'!D$60,IF($D49='W2'!$A$61,'W2'!D$61,IF($D49='W2'!$A$62,'W2'!D$62,IF($D49='W2'!$A$63,'W2'!D$63,IF($D49='W2'!$A$64,'W2'!D$64,IF($D49='W2'!$A$65,'W2'!D$65,IF($D49='W2'!$A$66,'W2'!D$66,IF($D49='W2'!$A$67,'W2'!D$67,IF($D49='W2'!$A$68,'W2'!F289,IF($D49='W2'!$A$69,'W2'!F289,IF($D49='W2'!$A$70,'W2'!F289,IF($D49='W2'!$A$71,"")))))))))))))</f>
        <v/>
      </c>
      <c r="I49" s="367"/>
      <c r="J49" s="366" t="str">
        <f>IF($D49='W2'!$A$59,'W2'!E$59,IF($D49='W2'!$A$60,'W2'!E$60,IF($D49='W2'!$A$61,'W2'!E$61,IF($D49='W2'!$A$62,'W2'!E$62,IF($D49='W2'!$A$63,'W2'!E$63,IF($D49='W2'!$A$64,'W2'!E$64,IF($D49='W2'!$A$65,'W2'!E$65,IF($D49='W2'!$A$66,'W2'!E$66,IF($D49='W2'!$A$67,'W2'!E$67,IF($D49='W2'!$A$68,'W2'!H289,IF($D49='W2'!$A$69,'W2'!H289,IF($D49='W2'!$A$70,'W2'!H289,IF($D49='W2'!$A$71,"")))))))))))))</f>
        <v/>
      </c>
      <c r="K49" s="367"/>
      <c r="L49" s="366" t="str">
        <f>IF($D49='W2'!$A$59,'W2'!F$59,IF($D49='W2'!$A$60,'W2'!F$60,IF($D49='W2'!$A$61,'W2'!F$61,IF($D49='W2'!$A$62,'W2'!F$62,IF($D49='W2'!$A$63,'W2'!F$63,IF($D49='W2'!$A$64,'W2'!F$64,IF($D49='W2'!$A$65,'W2'!F$65,IF($D49='W2'!$A$66,'W2'!F$66,IF($D49='W2'!$A$67,'W2'!F$67,IF($D49='W2'!$A$68,'W2'!J289,IF($D49='W2'!$A$69,'W2'!J289,IF($D49='W2'!$A$70,'W2'!J289,IF($D49='W2'!$A$71,"")))))))))))))</f>
        <v/>
      </c>
      <c r="M49" s="367"/>
      <c r="N49" s="187">
        <f>IF(N22=0,0,IF(AND($D49="F-SMRA",N22=0),0,IF(AND($D49="F-SMRB",N22=0),0,IF(AND($D49="F-SMRC",N22=0),0,IF($D49='W2'!$A$68,'W2'!B315,IF($D49='W2'!$A$69,'W2'!B315,IF($D49='W2'!$A$70,'W2'!B315,ROUND(('Subcontract 1'!N22/'W2'!$C$5*'W2'!$C$9*(IF('Subcontract 1'!$D49='W2'!$A$47,'W2'!B$47,IF('Subcontract 1'!$D49='W2'!$A$48,'W2'!B$48,IF('Subcontract 1'!$D49='W2'!$A$49,'W2'!B$49,IF('Subcontract 1'!$D49='W2'!$A$50,'W2'!B$50,IF('Subcontract 1'!$D49='W2'!$A$51,'W2'!B$51,IF('Subcontract 1'!$D49='W2'!$A$52,'W2'!B$52,IF('Subcontract 1'!$D49='W2'!$A$53,'W2'!B$53,IF('Subcontract 1'!$D49='W2'!$A$54,'W2'!B$54,IF('Subcontract 1'!$D49='W2'!$A$55,'W2'!B$55))))))))))),0)+ROUND(N22/'W2'!$C$5*'W2'!$C$10*(IF('Subcontract 1'!$D49='W2'!$A$47,'W2'!C$47,IF('Subcontract 1'!$D49='W2'!$A$48,'W2'!C$48,IF('Subcontract 1'!$D49='W2'!$A$49,'W2'!C$49,IF('Subcontract 1'!$D49='W2'!$A$50,'W2'!C$50,IF('Subcontract 1'!$D49='W2'!$A$51,'W2'!C$51,IF('Subcontract 1'!$D49='W2'!$A$52,'W2'!C$52,IF('Subcontract 1'!$D49='W2'!$A$53,'W2'!C$53,IF('Subcontract 1'!$D49='W2'!$A$54,'W2'!C$54,IF('Subcontract 1'!$D49='W2'!$A$55,'W2'!C$55)))))))))),0))))))))</f>
        <v>0</v>
      </c>
      <c r="O49" s="187">
        <f>IF(O22=0,0,IF(AND($D49="F-SMRA",O22=0),0,IF(AND($D49="F-SMRB",O22=0),0,IF(AND($D49="F-SMRC",O22=0),0,IF($D49='W2'!$A$68,'W2'!D315,IF($D49='W2'!$A$69,'W2'!D315,IF($D49='W2'!$A$70,'W2'!D315,ROUND(('Subcontract 1'!O22/'W2'!$D$5*'W2'!$D$9*(IF('Subcontract 1'!$D49='W2'!$A$47,'W2'!D$47,IF('Subcontract 1'!$D49='W2'!$A$48,'W2'!D$48,IF('Subcontract 1'!$D49='W2'!$A$49,'W2'!D$49,IF('Subcontract 1'!$D49='W2'!$A$50,'W2'!D$50,IF('Subcontract 1'!$D49='W2'!$A$51,'W2'!D$51,IF('Subcontract 1'!$D49='W2'!$A$52,'W2'!D$52,IF('Subcontract 1'!$D49='W2'!$A$53,'W2'!D$53,IF('Subcontract 1'!$D49='W2'!$A$54,'W2'!D$54,IF('Subcontract 1'!$D49='W2'!$A$55,'W2'!D$55))))))))))),0)+ROUND(O22/'W2'!$D$5*'W2'!$D$10*(IF('Subcontract 1'!$D49='W2'!$A$47,'W2'!E$47,IF('Subcontract 1'!$D49='W2'!$A$48,'W2'!E$48,IF('Subcontract 1'!$D49='W2'!$A$49,'W2'!E$49,IF('Subcontract 1'!$D49='W2'!$A$50,'W2'!E$50,IF('Subcontract 1'!$D49='W2'!$A$51,'W2'!E$51,IF('Subcontract 1'!$D49='W2'!$A$52,'W2'!E$52,IF('Subcontract 1'!$D49='W2'!$A$53,'W2'!E$53,IF('Subcontract 1'!$D49='W2'!$A$54,'W2'!E$54,IF('Subcontract 1'!$D49='W2'!$A$55,'W2'!E$55)))))))))),0))))))))</f>
        <v>0</v>
      </c>
      <c r="P49" s="187">
        <f>IF(P22=0,0,IF(AND($D49="F-SMRA",P22=0),0,IF(AND($D49="F-SMRB",P22=0),0,IF(AND($D49="F-SMRC",P22=0),0,IF($D49='W2'!$A$68,'W2'!F315,IF($D49='W2'!$A$69,'W2'!F315,IF($D49='W2'!$A$70,'W2'!F315,ROUND(('Subcontract 1'!P22/'W2'!$E$5*'W2'!$E$9*(IF('Subcontract 1'!$D49='W2'!$A$47,'W2'!F$47,IF('Subcontract 1'!$D49='W2'!$A$48,'W2'!F$48,IF('Subcontract 1'!$D49='W2'!$A$49,'W2'!F$49,IF('Subcontract 1'!$D49='W2'!$A$50,'W2'!F$50,IF('Subcontract 1'!$D49='W2'!$A$51,'W2'!F$51,IF('Subcontract 1'!$D49='W2'!$A$52,'W2'!F$52,IF('Subcontract 1'!$D49='W2'!$A$53,'W2'!F$53,IF('Subcontract 1'!$D49='W2'!$A$54,'W2'!F$54,IF('Subcontract 1'!$D49='W2'!$A$55,'W2'!F$55))))))))))),0)+ROUND(P22/'W2'!$E$5*'W2'!$E$10*(IF('Subcontract 1'!$D49='W2'!$A$47,'W2'!G$47,IF('Subcontract 1'!$D49='W2'!$A$48,'W2'!G$48,IF('Subcontract 1'!$D49='W2'!$A$49,'W2'!G$49,IF('Subcontract 1'!$D49='W2'!$A$50,'W2'!G$50,IF('Subcontract 1'!$D49='W2'!$A$51,'W2'!G$51,IF('Subcontract 1'!$D49='W2'!$A$52,'W2'!G$52,IF('Subcontract 1'!$D49='W2'!$A$53,'W2'!G$53,IF('Subcontract 1'!$D49='W2'!$A$54,'W2'!G$54,IF('Subcontract 1'!$D49='W2'!$A$55,'W2'!G$55)))))))))),0))))))))</f>
        <v>0</v>
      </c>
      <c r="Q49" s="187">
        <f>IF(Q22=0,0,IF(AND($D49="F-SMRA",Q22=0),0,IF(AND($D49="F-SMRB",Q22=0),0,IF(AND($D49="F-SMRC",Q22=0),0,IF($D49='W2'!$A$68,'W2'!H315,IF($D49='W2'!$A$69,'W2'!H315,IF($D49='W2'!$A$70,'W2'!H315,ROUND(('Subcontract 1'!Q22/'W2'!$F$5*'W2'!$F$9*(IF('Subcontract 1'!$D49='W2'!$A$47,'W2'!H$47,IF('Subcontract 1'!$D49='W2'!$A$48,'W2'!H$48,IF('Subcontract 1'!$D49='W2'!$A$49,'W2'!H$49,IF('Subcontract 1'!$D49='W2'!$A$50,'W2'!H$50,IF('Subcontract 1'!$D49='W2'!$A$51,'W2'!H$51,IF('Subcontract 1'!$D49='W2'!$A$52,'W2'!H$52,IF('Subcontract 1'!$D49='W2'!$A$53,'W2'!H$53,IF('Subcontract 1'!$D49='W2'!$A$54,'W2'!H$54,IF('Subcontract 1'!$D49='W2'!$A$55,'W2'!H$55))))))))))),0)+ROUND(Q22/'W2'!$F$5*'W2'!$F$10*(IF('Subcontract 1'!$D49='W2'!$A$47,'W2'!I$47,IF('Subcontract 1'!$D49='W2'!$A$48,'W2'!I$48,IF('Subcontract 1'!$D49='W2'!$A$49,'W2'!I$49,IF('Subcontract 1'!$D49='W2'!$A$50,'W2'!I$50,IF('Subcontract 1'!$D49='W2'!$A$51,'W2'!I$51,IF('Subcontract 1'!$D49='W2'!$A$52,'W2'!I$52,IF('Subcontract 1'!$D49='W2'!$A$53,'W2'!I$53,IF('Subcontract 1'!$D49='W2'!$A$54,'W2'!I$54,IF('Subcontract 1'!$D49='W2'!$A$55,'W2'!I$55)))))))))),0))))))))</f>
        <v>0</v>
      </c>
      <c r="R49" s="187">
        <f>IF(R22=0,0,IF(AND($D49="F-SMRA",R22=0),0,IF(AND($D49="F-SMRB",R22=0),0,IF(AND($D49="F-SMRC",R22=0),0,IF($D49='W2'!$A$68,'W2'!J315,IF($D49='W2'!$A$69,'W2'!J315,IF($D49='W2'!$A$70,'W2'!J315,ROUND(('Subcontract 1'!R22/'W2'!$G$5*'W2'!$G$9*(IF('Subcontract 1'!$D49='W2'!$A$47,'W2'!J$47,IF('Subcontract 1'!$D49='W2'!$A$48,'W2'!J$48,IF('Subcontract 1'!$D49='W2'!$A$49,'W2'!J$49,IF('Subcontract 1'!$D49='W2'!$A$50,'W2'!J$50,IF('Subcontract 1'!$D49='W2'!$A$51,'W2'!J$51,IF('Subcontract 1'!$D49='W2'!$A$52,'W2'!J$52,IF('Subcontract 1'!$D49='W2'!$A$53,'W2'!J$53,IF('Subcontract 1'!$D49='W2'!$A$54,'W2'!J$54,IF('Subcontract 1'!$D49='W2'!$A$55,'W2'!J$55))))))))))),0)+ROUND(R22/'W2'!$G$5*'W2'!$G$10*(IF('Subcontract 1'!$D49='W2'!$A$47,'W2'!K$47,IF('Subcontract 1'!$D49='W2'!$A$48,'W2'!K$48,IF('Subcontract 1'!$D49='W2'!$A$49,'W2'!K$49,IF('Subcontract 1'!$D49='W2'!$A$50,'W2'!K$50,IF('Subcontract 1'!$D49='W2'!$A$51,'W2'!K$51,IF('Subcontract 1'!$D49='W2'!$A$52,'W2'!K$52,IF('Subcontract 1'!$D49='W2'!$A$53,'W2'!K$53,IF('Subcontract 1'!$D49='W2'!$A$54,'W2'!K$54,IF('Subcontract 1'!$D49='W2'!$A$55,'W2'!K$55)))))))))),0))))))))</f>
        <v>0</v>
      </c>
      <c r="S49" s="187">
        <f t="shared" si="6"/>
        <v>0</v>
      </c>
      <c r="T49" s="248"/>
      <c r="U49" s="248"/>
      <c r="V49" s="248"/>
      <c r="W49" s="248"/>
      <c r="X49" s="248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idden="1" x14ac:dyDescent="0.2">
      <c r="A50" s="92">
        <v>16</v>
      </c>
      <c r="B50" s="381">
        <f t="shared" si="4"/>
        <v>0</v>
      </c>
      <c r="C50" s="382"/>
      <c r="D50" s="199" t="s">
        <v>52</v>
      </c>
      <c r="E50" s="265" t="str">
        <f>IF($D50='W2'!$A$59,'W2'!B$59,IF($D50='W2'!$A$60,'W2'!B$60,IF($D50='W2'!$A$61,'W2'!B$61,IF($D50='W2'!$A$62,'W2'!B$62,IF($D50='W2'!$A$63,'W2'!B$63,IF($D50='W2'!$A$64,'W2'!B$64,IF($D50='W2'!$A$65,'W2'!B$65,IF($D50='W2'!$A$66,'W2'!B$66,IF($D50='W2'!$A$67,'W2'!B$67,IF($D50='W2'!$A$68,'W2'!B290,IF($D50='W2'!$A$69,'W2'!B290,IF($D50='W2'!$A$70,'W2'!B290,IF($D50='W2'!$A$71,"")))))))))))))</f>
        <v/>
      </c>
      <c r="F50" s="378" t="str">
        <f>IF($D50='W2'!$A$59,'W2'!C$59,IF($D50='W2'!$A$60,'W2'!C$60,IF($D50='W2'!$A$61,'W2'!C$61,IF($D50='W2'!$A$62,'W2'!C$62,IF($D50='W2'!$A$63,'W2'!C$63,IF($D50='W2'!$A$64,'W2'!C$64,IF($D50='W2'!$A$65,'W2'!C$65,IF($D50='W2'!$A$66,'W2'!C$66,IF($D50='W2'!$A$67,'W2'!C$67,IF($D50='W2'!$A$68,'W2'!D290,IF($D50='W2'!$A$69,'W2'!D290,IF($D50='W2'!$A$70,'W2'!D290,IF($D50='W2'!$A$71,"")))))))))))))</f>
        <v/>
      </c>
      <c r="G50" s="379"/>
      <c r="H50" s="366" t="str">
        <f>IF($D50='W2'!$A$59,'W2'!D$59,IF($D50='W2'!$A$60,'W2'!D$60,IF($D50='W2'!$A$61,'W2'!D$61,IF($D50='W2'!$A$62,'W2'!D$62,IF($D50='W2'!$A$63,'W2'!D$63,IF($D50='W2'!$A$64,'W2'!D$64,IF($D50='W2'!$A$65,'W2'!D$65,IF($D50='W2'!$A$66,'W2'!D$66,IF($D50='W2'!$A$67,'W2'!D$67,IF($D50='W2'!$A$68,'W2'!F290,IF($D50='W2'!$A$69,'W2'!F290,IF($D50='W2'!$A$70,'W2'!F290,IF($D50='W2'!$A$71,"")))))))))))))</f>
        <v/>
      </c>
      <c r="I50" s="367"/>
      <c r="J50" s="366" t="str">
        <f>IF($D50='W2'!$A$59,'W2'!E$59,IF($D50='W2'!$A$60,'W2'!E$60,IF($D50='W2'!$A$61,'W2'!E$61,IF($D50='W2'!$A$62,'W2'!E$62,IF($D50='W2'!$A$63,'W2'!E$63,IF($D50='W2'!$A$64,'W2'!E$64,IF($D50='W2'!$A$65,'W2'!E$65,IF($D50='W2'!$A$66,'W2'!E$66,IF($D50='W2'!$A$67,'W2'!E$67,IF($D50='W2'!$A$68,'W2'!H290,IF($D50='W2'!$A$69,'W2'!H290,IF($D50='W2'!$A$70,'W2'!H290,IF($D50='W2'!$A$71,"")))))))))))))</f>
        <v/>
      </c>
      <c r="K50" s="367"/>
      <c r="L50" s="366" t="str">
        <f>IF($D50='W2'!$A$59,'W2'!F$59,IF($D50='W2'!$A$60,'W2'!F$60,IF($D50='W2'!$A$61,'W2'!F$61,IF($D50='W2'!$A$62,'W2'!F$62,IF($D50='W2'!$A$63,'W2'!F$63,IF($D50='W2'!$A$64,'W2'!F$64,IF($D50='W2'!$A$65,'W2'!F$65,IF($D50='W2'!$A$66,'W2'!F$66,IF($D50='W2'!$A$67,'W2'!F$67,IF($D50='W2'!$A$68,'W2'!J290,IF($D50='W2'!$A$69,'W2'!J290,IF($D50='W2'!$A$70,'W2'!J290,IF($D50='W2'!$A$71,"")))))))))))))</f>
        <v/>
      </c>
      <c r="M50" s="367"/>
      <c r="N50" s="187">
        <f>IF(N23=0,0,IF(AND($D50="F-SMRA",N23=0),0,IF(AND($D50="F-SMRB",N23=0),0,IF(AND($D50="F-SMRC",N23=0),0,IF($D50='W2'!$A$68,'W2'!B316,IF($D50='W2'!$A$69,'W2'!B316,IF($D50='W2'!$A$70,'W2'!B316,ROUND(('Subcontract 1'!N23/'W2'!$C$5*'W2'!$C$9*(IF('Subcontract 1'!$D50='W2'!$A$47,'W2'!B$47,IF('Subcontract 1'!$D50='W2'!$A$48,'W2'!B$48,IF('Subcontract 1'!$D50='W2'!$A$49,'W2'!B$49,IF('Subcontract 1'!$D50='W2'!$A$50,'W2'!B$50,IF('Subcontract 1'!$D50='W2'!$A$51,'W2'!B$51,IF('Subcontract 1'!$D50='W2'!$A$52,'W2'!B$52,IF('Subcontract 1'!$D50='W2'!$A$53,'W2'!B$53,IF('Subcontract 1'!$D50='W2'!$A$54,'W2'!B$54,IF('Subcontract 1'!$D50='W2'!$A$55,'W2'!B$55))))))))))),0)+ROUND(N23/'W2'!$C$5*'W2'!$C$10*(IF('Subcontract 1'!$D50='W2'!$A$47,'W2'!C$47,IF('Subcontract 1'!$D50='W2'!$A$48,'W2'!C$48,IF('Subcontract 1'!$D50='W2'!$A$49,'W2'!C$49,IF('Subcontract 1'!$D50='W2'!$A$50,'W2'!C$50,IF('Subcontract 1'!$D50='W2'!$A$51,'W2'!C$51,IF('Subcontract 1'!$D50='W2'!$A$52,'W2'!C$52,IF('Subcontract 1'!$D50='W2'!$A$53,'W2'!C$53,IF('Subcontract 1'!$D50='W2'!$A$54,'W2'!C$54,IF('Subcontract 1'!$D50='W2'!$A$55,'W2'!C$55)))))))))),0))))))))</f>
        <v>0</v>
      </c>
      <c r="O50" s="187">
        <f>IF(O23=0,0,IF(AND($D50="F-SMRA",O23=0),0,IF(AND($D50="F-SMRB",O23=0),0,IF(AND($D50="F-SMRC",O23=0),0,IF($D50='W2'!$A$68,'W2'!D316,IF($D50='W2'!$A$69,'W2'!D316,IF($D50='W2'!$A$70,'W2'!D316,ROUND(('Subcontract 1'!O23/'W2'!$D$5*'W2'!$D$9*(IF('Subcontract 1'!$D50='W2'!$A$47,'W2'!D$47,IF('Subcontract 1'!$D50='W2'!$A$48,'W2'!D$48,IF('Subcontract 1'!$D50='W2'!$A$49,'W2'!D$49,IF('Subcontract 1'!$D50='W2'!$A$50,'W2'!D$50,IF('Subcontract 1'!$D50='W2'!$A$51,'W2'!D$51,IF('Subcontract 1'!$D50='W2'!$A$52,'W2'!D$52,IF('Subcontract 1'!$D50='W2'!$A$53,'W2'!D$53,IF('Subcontract 1'!$D50='W2'!$A$54,'W2'!D$54,IF('Subcontract 1'!$D50='W2'!$A$55,'W2'!D$55))))))))))),0)+ROUND(O23/'W2'!$D$5*'W2'!$D$10*(IF('Subcontract 1'!$D50='W2'!$A$47,'W2'!E$47,IF('Subcontract 1'!$D50='W2'!$A$48,'W2'!E$48,IF('Subcontract 1'!$D50='W2'!$A$49,'W2'!E$49,IF('Subcontract 1'!$D50='W2'!$A$50,'W2'!E$50,IF('Subcontract 1'!$D50='W2'!$A$51,'W2'!E$51,IF('Subcontract 1'!$D50='W2'!$A$52,'W2'!E$52,IF('Subcontract 1'!$D50='W2'!$A$53,'W2'!E$53,IF('Subcontract 1'!$D50='W2'!$A$54,'W2'!E$54,IF('Subcontract 1'!$D50='W2'!$A$55,'W2'!E$55)))))))))),0))))))))</f>
        <v>0</v>
      </c>
      <c r="P50" s="187">
        <f>IF(P23=0,0,IF(AND($D50="F-SMRA",P23=0),0,IF(AND($D50="F-SMRB",P23=0),0,IF(AND($D50="F-SMRC",P23=0),0,IF($D50='W2'!$A$68,'W2'!F316,IF($D50='W2'!$A$69,'W2'!F316,IF($D50='W2'!$A$70,'W2'!F316,ROUND(('Subcontract 1'!P23/'W2'!$E$5*'W2'!$E$9*(IF('Subcontract 1'!$D50='W2'!$A$47,'W2'!F$47,IF('Subcontract 1'!$D50='W2'!$A$48,'W2'!F$48,IF('Subcontract 1'!$D50='W2'!$A$49,'W2'!F$49,IF('Subcontract 1'!$D50='W2'!$A$50,'W2'!F$50,IF('Subcontract 1'!$D50='W2'!$A$51,'W2'!F$51,IF('Subcontract 1'!$D50='W2'!$A$52,'W2'!F$52,IF('Subcontract 1'!$D50='W2'!$A$53,'W2'!F$53,IF('Subcontract 1'!$D50='W2'!$A$54,'W2'!F$54,IF('Subcontract 1'!$D50='W2'!$A$55,'W2'!F$55))))))))))),0)+ROUND(P23/'W2'!$E$5*'W2'!$E$10*(IF('Subcontract 1'!$D50='W2'!$A$47,'W2'!G$47,IF('Subcontract 1'!$D50='W2'!$A$48,'W2'!G$48,IF('Subcontract 1'!$D50='W2'!$A$49,'W2'!G$49,IF('Subcontract 1'!$D50='W2'!$A$50,'W2'!G$50,IF('Subcontract 1'!$D50='W2'!$A$51,'W2'!G$51,IF('Subcontract 1'!$D50='W2'!$A$52,'W2'!G$52,IF('Subcontract 1'!$D50='W2'!$A$53,'W2'!G$53,IF('Subcontract 1'!$D50='W2'!$A$54,'W2'!G$54,IF('Subcontract 1'!$D50='W2'!$A$55,'W2'!G$55)))))))))),0))))))))</f>
        <v>0</v>
      </c>
      <c r="Q50" s="187">
        <f>IF(Q23=0,0,IF(AND($D50="F-SMRA",Q23=0),0,IF(AND($D50="F-SMRB",Q23=0),0,IF(AND($D50="F-SMRC",Q23=0),0,IF($D50='W2'!$A$68,'W2'!H316,IF($D50='W2'!$A$69,'W2'!H316,IF($D50='W2'!$A$70,'W2'!H316,ROUND(('Subcontract 1'!Q23/'W2'!$F$5*'W2'!$F$9*(IF('Subcontract 1'!$D50='W2'!$A$47,'W2'!H$47,IF('Subcontract 1'!$D50='W2'!$A$48,'W2'!H$48,IF('Subcontract 1'!$D50='W2'!$A$49,'W2'!H$49,IF('Subcontract 1'!$D50='W2'!$A$50,'W2'!H$50,IF('Subcontract 1'!$D50='W2'!$A$51,'W2'!H$51,IF('Subcontract 1'!$D50='W2'!$A$52,'W2'!H$52,IF('Subcontract 1'!$D50='W2'!$A$53,'W2'!H$53,IF('Subcontract 1'!$D50='W2'!$A$54,'W2'!H$54,IF('Subcontract 1'!$D50='W2'!$A$55,'W2'!H$55))))))))))),0)+ROUND(Q23/'W2'!$F$5*'W2'!$F$10*(IF('Subcontract 1'!$D50='W2'!$A$47,'W2'!I$47,IF('Subcontract 1'!$D50='W2'!$A$48,'W2'!I$48,IF('Subcontract 1'!$D50='W2'!$A$49,'W2'!I$49,IF('Subcontract 1'!$D50='W2'!$A$50,'W2'!I$50,IF('Subcontract 1'!$D50='W2'!$A$51,'W2'!I$51,IF('Subcontract 1'!$D50='W2'!$A$52,'W2'!I$52,IF('Subcontract 1'!$D50='W2'!$A$53,'W2'!I$53,IF('Subcontract 1'!$D50='W2'!$A$54,'W2'!I$54,IF('Subcontract 1'!$D50='W2'!$A$55,'W2'!I$55)))))))))),0))))))))</f>
        <v>0</v>
      </c>
      <c r="R50" s="187">
        <f>IF(R23=0,0,IF(AND($D50="F-SMRA",R23=0),0,IF(AND($D50="F-SMRB",R23=0),0,IF(AND($D50="F-SMRC",R23=0),0,IF($D50='W2'!$A$68,'W2'!J316,IF($D50='W2'!$A$69,'W2'!J316,IF($D50='W2'!$A$70,'W2'!J316,ROUND(('Subcontract 1'!R23/'W2'!$G$5*'W2'!$G$9*(IF('Subcontract 1'!$D50='W2'!$A$47,'W2'!J$47,IF('Subcontract 1'!$D50='W2'!$A$48,'W2'!J$48,IF('Subcontract 1'!$D50='W2'!$A$49,'W2'!J$49,IF('Subcontract 1'!$D50='W2'!$A$50,'W2'!J$50,IF('Subcontract 1'!$D50='W2'!$A$51,'W2'!J$51,IF('Subcontract 1'!$D50='W2'!$A$52,'W2'!J$52,IF('Subcontract 1'!$D50='W2'!$A$53,'W2'!J$53,IF('Subcontract 1'!$D50='W2'!$A$54,'W2'!J$54,IF('Subcontract 1'!$D50='W2'!$A$55,'W2'!J$55))))))))))),0)+ROUND(R23/'W2'!$G$5*'W2'!$G$10*(IF('Subcontract 1'!$D50='W2'!$A$47,'W2'!K$47,IF('Subcontract 1'!$D50='W2'!$A$48,'W2'!K$48,IF('Subcontract 1'!$D50='W2'!$A$49,'W2'!K$49,IF('Subcontract 1'!$D50='W2'!$A$50,'W2'!K$50,IF('Subcontract 1'!$D50='W2'!$A$51,'W2'!K$51,IF('Subcontract 1'!$D50='W2'!$A$52,'W2'!K$52,IF('Subcontract 1'!$D50='W2'!$A$53,'W2'!K$53,IF('Subcontract 1'!$D50='W2'!$A$54,'W2'!K$54,IF('Subcontract 1'!$D50='W2'!$A$55,'W2'!K$55)))))))))),0))))))))</f>
        <v>0</v>
      </c>
      <c r="S50" s="187">
        <f t="shared" si="6"/>
        <v>0</v>
      </c>
      <c r="T50" s="248"/>
      <c r="U50" s="248"/>
      <c r="V50" s="248"/>
      <c r="W50" s="248"/>
      <c r="X50" s="248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</row>
    <row r="51" spans="1:51" hidden="1" x14ac:dyDescent="0.2">
      <c r="A51" s="92">
        <v>17</v>
      </c>
      <c r="B51" s="381">
        <f t="shared" si="4"/>
        <v>0</v>
      </c>
      <c r="C51" s="382"/>
      <c r="D51" s="199" t="s">
        <v>52</v>
      </c>
      <c r="E51" s="265" t="str">
        <f>IF($D51='W2'!$A$59,'W2'!B$59,IF($D51='W2'!$A$60,'W2'!B$60,IF($D51='W2'!$A$61,'W2'!B$61,IF($D51='W2'!$A$62,'W2'!B$62,IF($D51='W2'!$A$63,'W2'!B$63,IF($D51='W2'!$A$64,'W2'!B$64,IF($D51='W2'!$A$65,'W2'!B$65,IF($D51='W2'!$A$66,'W2'!B$66,IF($D51='W2'!$A$67,'W2'!B$67,IF($D51='W2'!$A$68,'W2'!B291,IF($D51='W2'!$A$69,'W2'!B291,IF($D51='W2'!$A$70,'W2'!B291,IF($D51='W2'!$A$71,"")))))))))))))</f>
        <v/>
      </c>
      <c r="F51" s="378" t="str">
        <f>IF($D51='W2'!$A$59,'W2'!C$59,IF($D51='W2'!$A$60,'W2'!C$60,IF($D51='W2'!$A$61,'W2'!C$61,IF($D51='W2'!$A$62,'W2'!C$62,IF($D51='W2'!$A$63,'W2'!C$63,IF($D51='W2'!$A$64,'W2'!C$64,IF($D51='W2'!$A$65,'W2'!C$65,IF($D51='W2'!$A$66,'W2'!C$66,IF($D51='W2'!$A$67,'W2'!C$67,IF($D51='W2'!$A$68,'W2'!D291,IF($D51='W2'!$A$69,'W2'!D291,IF($D51='W2'!$A$70,'W2'!D291,IF($D51='W2'!$A$71,"")))))))))))))</f>
        <v/>
      </c>
      <c r="G51" s="379"/>
      <c r="H51" s="366" t="str">
        <f>IF($D51='W2'!$A$59,'W2'!D$59,IF($D51='W2'!$A$60,'W2'!D$60,IF($D51='W2'!$A$61,'W2'!D$61,IF($D51='W2'!$A$62,'W2'!D$62,IF($D51='W2'!$A$63,'W2'!D$63,IF($D51='W2'!$A$64,'W2'!D$64,IF($D51='W2'!$A$65,'W2'!D$65,IF($D51='W2'!$A$66,'W2'!D$66,IF($D51='W2'!$A$67,'W2'!D$67,IF($D51='W2'!$A$68,'W2'!F291,IF($D51='W2'!$A$69,'W2'!F291,IF($D51='W2'!$A$70,'W2'!F291,IF($D51='W2'!$A$71,"")))))))))))))</f>
        <v/>
      </c>
      <c r="I51" s="367"/>
      <c r="J51" s="366" t="str">
        <f>IF($D51='W2'!$A$59,'W2'!E$59,IF($D51='W2'!$A$60,'W2'!E$60,IF($D51='W2'!$A$61,'W2'!E$61,IF($D51='W2'!$A$62,'W2'!E$62,IF($D51='W2'!$A$63,'W2'!E$63,IF($D51='W2'!$A$64,'W2'!E$64,IF($D51='W2'!$A$65,'W2'!E$65,IF($D51='W2'!$A$66,'W2'!E$66,IF($D51='W2'!$A$67,'W2'!E$67,IF($D51='W2'!$A$68,'W2'!H291,IF($D51='W2'!$A$69,'W2'!H291,IF($D51='W2'!$A$70,'W2'!H291,IF($D51='W2'!$A$71,"")))))))))))))</f>
        <v/>
      </c>
      <c r="K51" s="367"/>
      <c r="L51" s="366" t="str">
        <f>IF($D51='W2'!$A$59,'W2'!F$59,IF($D51='W2'!$A$60,'W2'!F$60,IF($D51='W2'!$A$61,'W2'!F$61,IF($D51='W2'!$A$62,'W2'!F$62,IF($D51='W2'!$A$63,'W2'!F$63,IF($D51='W2'!$A$64,'W2'!F$64,IF($D51='W2'!$A$65,'W2'!F$65,IF($D51='W2'!$A$66,'W2'!F$66,IF($D51='W2'!$A$67,'W2'!F$67,IF($D51='W2'!$A$68,'W2'!J291,IF($D51='W2'!$A$69,'W2'!J291,IF($D51='W2'!$A$70,'W2'!J291,IF($D51='W2'!$A$71,"")))))))))))))</f>
        <v/>
      </c>
      <c r="M51" s="367"/>
      <c r="N51" s="187">
        <f>IF(N24=0,0,IF(AND($D51="F-SMRA",N24=0),0,IF(AND($D51="F-SMRB",N24=0),0,IF(AND($D51="F-SMRC",N24=0),0,IF($D51='W2'!$A$68,'W2'!B317,IF($D51='W2'!$A$69,'W2'!B317,IF($D51='W2'!$A$70,'W2'!B317,ROUND(('Subcontract 1'!N24/'W2'!$C$5*'W2'!$C$9*(IF('Subcontract 1'!$D51='W2'!$A$47,'W2'!B$47,IF('Subcontract 1'!$D51='W2'!$A$48,'W2'!B$48,IF('Subcontract 1'!$D51='W2'!$A$49,'W2'!B$49,IF('Subcontract 1'!$D51='W2'!$A$50,'W2'!B$50,IF('Subcontract 1'!$D51='W2'!$A$51,'W2'!B$51,IF('Subcontract 1'!$D51='W2'!$A$52,'W2'!B$52,IF('Subcontract 1'!$D51='W2'!$A$53,'W2'!B$53,IF('Subcontract 1'!$D51='W2'!$A$54,'W2'!B$54,IF('Subcontract 1'!$D51='W2'!$A$55,'W2'!B$55))))))))))),0)+ROUND(N24/'W2'!$C$5*'W2'!$C$10*(IF('Subcontract 1'!$D51='W2'!$A$47,'W2'!C$47,IF('Subcontract 1'!$D51='W2'!$A$48,'W2'!C$48,IF('Subcontract 1'!$D51='W2'!$A$49,'W2'!C$49,IF('Subcontract 1'!$D51='W2'!$A$50,'W2'!C$50,IF('Subcontract 1'!$D51='W2'!$A$51,'W2'!C$51,IF('Subcontract 1'!$D51='W2'!$A$52,'W2'!C$52,IF('Subcontract 1'!$D51='W2'!$A$53,'W2'!C$53,IF('Subcontract 1'!$D51='W2'!$A$54,'W2'!C$54,IF('Subcontract 1'!$D51='W2'!$A$55,'W2'!C$55)))))))))),0))))))))</f>
        <v>0</v>
      </c>
      <c r="O51" s="187">
        <f>IF(O24=0,0,IF(AND($D51="F-SMRA",O24=0),0,IF(AND($D51="F-SMRB",O24=0),0,IF(AND($D51="F-SMRC",O24=0),0,IF($D51='W2'!$A$68,'W2'!D317,IF($D51='W2'!$A$69,'W2'!D317,IF($D51='W2'!$A$70,'W2'!D317,ROUND(('Subcontract 1'!O24/'W2'!$D$5*'W2'!$D$9*(IF('Subcontract 1'!$D51='W2'!$A$47,'W2'!D$47,IF('Subcontract 1'!$D51='W2'!$A$48,'W2'!D$48,IF('Subcontract 1'!$D51='W2'!$A$49,'W2'!D$49,IF('Subcontract 1'!$D51='W2'!$A$50,'W2'!D$50,IF('Subcontract 1'!$D51='W2'!$A$51,'W2'!D$51,IF('Subcontract 1'!$D51='W2'!$A$52,'W2'!D$52,IF('Subcontract 1'!$D51='W2'!$A$53,'W2'!D$53,IF('Subcontract 1'!$D51='W2'!$A$54,'W2'!D$54,IF('Subcontract 1'!$D51='W2'!$A$55,'W2'!D$55))))))))))),0)+ROUND(O24/'W2'!$D$5*'W2'!$D$10*(IF('Subcontract 1'!$D51='W2'!$A$47,'W2'!E$47,IF('Subcontract 1'!$D51='W2'!$A$48,'W2'!E$48,IF('Subcontract 1'!$D51='W2'!$A$49,'W2'!E$49,IF('Subcontract 1'!$D51='W2'!$A$50,'W2'!E$50,IF('Subcontract 1'!$D51='W2'!$A$51,'W2'!E$51,IF('Subcontract 1'!$D51='W2'!$A$52,'W2'!E$52,IF('Subcontract 1'!$D51='W2'!$A$53,'W2'!E$53,IF('Subcontract 1'!$D51='W2'!$A$54,'W2'!E$54,IF('Subcontract 1'!$D51='W2'!$A$55,'W2'!E$55)))))))))),0))))))))</f>
        <v>0</v>
      </c>
      <c r="P51" s="187">
        <f>IF(P24=0,0,IF(AND($D51="F-SMRA",P24=0),0,IF(AND($D51="F-SMRB",P24=0),0,IF(AND($D51="F-SMRC",P24=0),0,IF($D51='W2'!$A$68,'W2'!F317,IF($D51='W2'!$A$69,'W2'!F317,IF($D51='W2'!$A$70,'W2'!F317,ROUND(('Subcontract 1'!P24/'W2'!$E$5*'W2'!$E$9*(IF('Subcontract 1'!$D51='W2'!$A$47,'W2'!F$47,IF('Subcontract 1'!$D51='W2'!$A$48,'W2'!F$48,IF('Subcontract 1'!$D51='W2'!$A$49,'W2'!F$49,IF('Subcontract 1'!$D51='W2'!$A$50,'W2'!F$50,IF('Subcontract 1'!$D51='W2'!$A$51,'W2'!F$51,IF('Subcontract 1'!$D51='W2'!$A$52,'W2'!F$52,IF('Subcontract 1'!$D51='W2'!$A$53,'W2'!F$53,IF('Subcontract 1'!$D51='W2'!$A$54,'W2'!F$54,IF('Subcontract 1'!$D51='W2'!$A$55,'W2'!F$55))))))))))),0)+ROUND(P24/'W2'!$E$5*'W2'!$E$10*(IF('Subcontract 1'!$D51='W2'!$A$47,'W2'!G$47,IF('Subcontract 1'!$D51='W2'!$A$48,'W2'!G$48,IF('Subcontract 1'!$D51='W2'!$A$49,'W2'!G$49,IF('Subcontract 1'!$D51='W2'!$A$50,'W2'!G$50,IF('Subcontract 1'!$D51='W2'!$A$51,'W2'!G$51,IF('Subcontract 1'!$D51='W2'!$A$52,'W2'!G$52,IF('Subcontract 1'!$D51='W2'!$A$53,'W2'!G$53,IF('Subcontract 1'!$D51='W2'!$A$54,'W2'!G$54,IF('Subcontract 1'!$D51='W2'!$A$55,'W2'!G$55)))))))))),0))))))))</f>
        <v>0</v>
      </c>
      <c r="Q51" s="187">
        <f>IF(Q24=0,0,IF(AND($D51="F-SMRA",Q24=0),0,IF(AND($D51="F-SMRB",Q24=0),0,IF(AND($D51="F-SMRC",Q24=0),0,IF($D51='W2'!$A$68,'W2'!H317,IF($D51='W2'!$A$69,'W2'!H317,IF($D51='W2'!$A$70,'W2'!H317,ROUND(('Subcontract 1'!Q24/'W2'!$F$5*'W2'!$F$9*(IF('Subcontract 1'!$D51='W2'!$A$47,'W2'!H$47,IF('Subcontract 1'!$D51='W2'!$A$48,'W2'!H$48,IF('Subcontract 1'!$D51='W2'!$A$49,'W2'!H$49,IF('Subcontract 1'!$D51='W2'!$A$50,'W2'!H$50,IF('Subcontract 1'!$D51='W2'!$A$51,'W2'!H$51,IF('Subcontract 1'!$D51='W2'!$A$52,'W2'!H$52,IF('Subcontract 1'!$D51='W2'!$A$53,'W2'!H$53,IF('Subcontract 1'!$D51='W2'!$A$54,'W2'!H$54,IF('Subcontract 1'!$D51='W2'!$A$55,'W2'!H$55))))))))))),0)+ROUND(Q24/'W2'!$F$5*'W2'!$F$10*(IF('Subcontract 1'!$D51='W2'!$A$47,'W2'!I$47,IF('Subcontract 1'!$D51='W2'!$A$48,'W2'!I$48,IF('Subcontract 1'!$D51='W2'!$A$49,'W2'!I$49,IF('Subcontract 1'!$D51='W2'!$A$50,'W2'!I$50,IF('Subcontract 1'!$D51='W2'!$A$51,'W2'!I$51,IF('Subcontract 1'!$D51='W2'!$A$52,'W2'!I$52,IF('Subcontract 1'!$D51='W2'!$A$53,'W2'!I$53,IF('Subcontract 1'!$D51='W2'!$A$54,'W2'!I$54,IF('Subcontract 1'!$D51='W2'!$A$55,'W2'!I$55)))))))))),0))))))))</f>
        <v>0</v>
      </c>
      <c r="R51" s="187">
        <f>IF(R24=0,0,IF(AND($D51="F-SMRA",R24=0),0,IF(AND($D51="F-SMRB",R24=0),0,IF(AND($D51="F-SMRC",R24=0),0,IF($D51='W2'!$A$68,'W2'!J317,IF($D51='W2'!$A$69,'W2'!J317,IF($D51='W2'!$A$70,'W2'!J317,ROUND(('Subcontract 1'!R24/'W2'!$G$5*'W2'!$G$9*(IF('Subcontract 1'!$D51='W2'!$A$47,'W2'!J$47,IF('Subcontract 1'!$D51='W2'!$A$48,'W2'!J$48,IF('Subcontract 1'!$D51='W2'!$A$49,'W2'!J$49,IF('Subcontract 1'!$D51='W2'!$A$50,'W2'!J$50,IF('Subcontract 1'!$D51='W2'!$A$51,'W2'!J$51,IF('Subcontract 1'!$D51='W2'!$A$52,'W2'!J$52,IF('Subcontract 1'!$D51='W2'!$A$53,'W2'!J$53,IF('Subcontract 1'!$D51='W2'!$A$54,'W2'!J$54,IF('Subcontract 1'!$D51='W2'!$A$55,'W2'!J$55))))))))))),0)+ROUND(R24/'W2'!$G$5*'W2'!$G$10*(IF('Subcontract 1'!$D51='W2'!$A$47,'W2'!K$47,IF('Subcontract 1'!$D51='W2'!$A$48,'W2'!K$48,IF('Subcontract 1'!$D51='W2'!$A$49,'W2'!K$49,IF('Subcontract 1'!$D51='W2'!$A$50,'W2'!K$50,IF('Subcontract 1'!$D51='W2'!$A$51,'W2'!K$51,IF('Subcontract 1'!$D51='W2'!$A$52,'W2'!K$52,IF('Subcontract 1'!$D51='W2'!$A$53,'W2'!K$53,IF('Subcontract 1'!$D51='W2'!$A$54,'W2'!K$54,IF('Subcontract 1'!$D51='W2'!$A$55,'W2'!K$55)))))))))),0))))))))</f>
        <v>0</v>
      </c>
      <c r="S51" s="187">
        <f t="shared" si="6"/>
        <v>0</v>
      </c>
      <c r="T51" s="248"/>
      <c r="U51" s="248"/>
      <c r="V51" s="248"/>
      <c r="W51" s="248"/>
      <c r="X51" s="248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</row>
    <row r="52" spans="1:51" hidden="1" x14ac:dyDescent="0.2">
      <c r="A52" s="92">
        <v>18</v>
      </c>
      <c r="B52" s="381">
        <f t="shared" si="4"/>
        <v>0</v>
      </c>
      <c r="C52" s="382"/>
      <c r="D52" s="199" t="s">
        <v>52</v>
      </c>
      <c r="E52" s="265" t="str">
        <f>IF($D52='W2'!$A$59,'W2'!B$59,IF($D52='W2'!$A$60,'W2'!B$60,IF($D52='W2'!$A$61,'W2'!B$61,IF($D52='W2'!$A$62,'W2'!B$62,IF($D52='W2'!$A$63,'W2'!B$63,IF($D52='W2'!$A$64,'W2'!B$64,IF($D52='W2'!$A$65,'W2'!B$65,IF($D52='W2'!$A$66,'W2'!B$66,IF($D52='W2'!$A$67,'W2'!B$67,IF($D52='W2'!$A$68,'W2'!B292,IF($D52='W2'!$A$69,'W2'!B292,IF($D52='W2'!$A$70,'W2'!B292,IF($D52='W2'!$A$71,"")))))))))))))</f>
        <v/>
      </c>
      <c r="F52" s="378" t="str">
        <f>IF($D52='W2'!$A$59,'W2'!C$59,IF($D52='W2'!$A$60,'W2'!C$60,IF($D52='W2'!$A$61,'W2'!C$61,IF($D52='W2'!$A$62,'W2'!C$62,IF($D52='W2'!$A$63,'W2'!C$63,IF($D52='W2'!$A$64,'W2'!C$64,IF($D52='W2'!$A$65,'W2'!C$65,IF($D52='W2'!$A$66,'W2'!C$66,IF($D52='W2'!$A$67,'W2'!C$67,IF($D52='W2'!$A$68,'W2'!D292,IF($D52='W2'!$A$69,'W2'!D292,IF($D52='W2'!$A$70,'W2'!D292,IF($D52='W2'!$A$71,"")))))))))))))</f>
        <v/>
      </c>
      <c r="G52" s="379"/>
      <c r="H52" s="366" t="str">
        <f>IF($D52='W2'!$A$59,'W2'!D$59,IF($D52='W2'!$A$60,'W2'!D$60,IF($D52='W2'!$A$61,'W2'!D$61,IF($D52='W2'!$A$62,'W2'!D$62,IF($D52='W2'!$A$63,'W2'!D$63,IF($D52='W2'!$A$64,'W2'!D$64,IF($D52='W2'!$A$65,'W2'!D$65,IF($D52='W2'!$A$66,'W2'!D$66,IF($D52='W2'!$A$67,'W2'!D$67,IF($D52='W2'!$A$68,'W2'!F292,IF($D52='W2'!$A$69,'W2'!F292,IF($D52='W2'!$A$70,'W2'!F292,IF($D52='W2'!$A$71,"")))))))))))))</f>
        <v/>
      </c>
      <c r="I52" s="367"/>
      <c r="J52" s="366" t="str">
        <f>IF($D52='W2'!$A$59,'W2'!E$59,IF($D52='W2'!$A$60,'W2'!E$60,IF($D52='W2'!$A$61,'W2'!E$61,IF($D52='W2'!$A$62,'W2'!E$62,IF($D52='W2'!$A$63,'W2'!E$63,IF($D52='W2'!$A$64,'W2'!E$64,IF($D52='W2'!$A$65,'W2'!E$65,IF($D52='W2'!$A$66,'W2'!E$66,IF($D52='W2'!$A$67,'W2'!E$67,IF($D52='W2'!$A$68,'W2'!H292,IF($D52='W2'!$A$69,'W2'!H292,IF($D52='W2'!$A$70,'W2'!H292,IF($D52='W2'!$A$71,"")))))))))))))</f>
        <v/>
      </c>
      <c r="K52" s="367"/>
      <c r="L52" s="366" t="str">
        <f>IF($D52='W2'!$A$59,'W2'!F$59,IF($D52='W2'!$A$60,'W2'!F$60,IF($D52='W2'!$A$61,'W2'!F$61,IF($D52='W2'!$A$62,'W2'!F$62,IF($D52='W2'!$A$63,'W2'!F$63,IF($D52='W2'!$A$64,'W2'!F$64,IF($D52='W2'!$A$65,'W2'!F$65,IF($D52='W2'!$A$66,'W2'!F$66,IF($D52='W2'!$A$67,'W2'!F$67,IF($D52='W2'!$A$68,'W2'!J292,IF($D52='W2'!$A$69,'W2'!J292,IF($D52='W2'!$A$70,'W2'!J292,IF($D52='W2'!$A$71,"")))))))))))))</f>
        <v/>
      </c>
      <c r="M52" s="367"/>
      <c r="N52" s="187">
        <f>IF(N25=0,0,IF(AND($D52="F-SMRA",N25=0),0,IF(AND($D52="F-SMRB",N25=0),0,IF(AND($D52="F-SMRC",N25=0),0,IF($D52='W2'!$A$68,'W2'!B318,IF($D52='W2'!$A$69,'W2'!B318,IF($D52='W2'!$A$70,'W2'!B318,ROUND(('Subcontract 1'!N25/'W2'!$C$5*'W2'!$C$9*(IF('Subcontract 1'!$D52='W2'!$A$47,'W2'!B$47,IF('Subcontract 1'!$D52='W2'!$A$48,'W2'!B$48,IF('Subcontract 1'!$D52='W2'!$A$49,'W2'!B$49,IF('Subcontract 1'!$D52='W2'!$A$50,'W2'!B$50,IF('Subcontract 1'!$D52='W2'!$A$51,'W2'!B$51,IF('Subcontract 1'!$D52='W2'!$A$52,'W2'!B$52,IF('Subcontract 1'!$D52='W2'!$A$53,'W2'!B$53,IF('Subcontract 1'!$D52='W2'!$A$54,'W2'!B$54,IF('Subcontract 1'!$D52='W2'!$A$55,'W2'!B$55))))))))))),0)+ROUND(N25/'W2'!$C$5*'W2'!$C$10*(IF('Subcontract 1'!$D52='W2'!$A$47,'W2'!C$47,IF('Subcontract 1'!$D52='W2'!$A$48,'W2'!C$48,IF('Subcontract 1'!$D52='W2'!$A$49,'W2'!C$49,IF('Subcontract 1'!$D52='W2'!$A$50,'W2'!C$50,IF('Subcontract 1'!$D52='W2'!$A$51,'W2'!C$51,IF('Subcontract 1'!$D52='W2'!$A$52,'W2'!C$52,IF('Subcontract 1'!$D52='W2'!$A$53,'W2'!C$53,IF('Subcontract 1'!$D52='W2'!$A$54,'W2'!C$54,IF('Subcontract 1'!$D52='W2'!$A$55,'W2'!C$55)))))))))),0))))))))</f>
        <v>0</v>
      </c>
      <c r="O52" s="187">
        <f>IF(O25=0,0,IF(AND($D52="F-SMRA",O25=0),0,IF(AND($D52="F-SMRB",O25=0),0,IF(AND($D52="F-SMRC",O25=0),0,IF($D52='W2'!$A$68,'W2'!D318,IF($D52='W2'!$A$69,'W2'!D318,IF($D52='W2'!$A$70,'W2'!D318,ROUND(('Subcontract 1'!O25/'W2'!$D$5*'W2'!$D$9*(IF('Subcontract 1'!$D52='W2'!$A$47,'W2'!D$47,IF('Subcontract 1'!$D52='W2'!$A$48,'W2'!D$48,IF('Subcontract 1'!$D52='W2'!$A$49,'W2'!D$49,IF('Subcontract 1'!$D52='W2'!$A$50,'W2'!D$50,IF('Subcontract 1'!$D52='W2'!$A$51,'W2'!D$51,IF('Subcontract 1'!$D52='W2'!$A$52,'W2'!D$52,IF('Subcontract 1'!$D52='W2'!$A$53,'W2'!D$53,IF('Subcontract 1'!$D52='W2'!$A$54,'W2'!D$54,IF('Subcontract 1'!$D52='W2'!$A$55,'W2'!D$55))))))))))),0)+ROUND(O25/'W2'!$D$5*'W2'!$D$10*(IF('Subcontract 1'!$D52='W2'!$A$47,'W2'!E$47,IF('Subcontract 1'!$D52='W2'!$A$48,'W2'!E$48,IF('Subcontract 1'!$D52='W2'!$A$49,'W2'!E$49,IF('Subcontract 1'!$D52='W2'!$A$50,'W2'!E$50,IF('Subcontract 1'!$D52='W2'!$A$51,'W2'!E$51,IF('Subcontract 1'!$D52='W2'!$A$52,'W2'!E$52,IF('Subcontract 1'!$D52='W2'!$A$53,'W2'!E$53,IF('Subcontract 1'!$D52='W2'!$A$54,'W2'!E$54,IF('Subcontract 1'!$D52='W2'!$A$55,'W2'!E$55)))))))))),0))))))))</f>
        <v>0</v>
      </c>
      <c r="P52" s="187">
        <f>IF(P25=0,0,IF(AND($D52="F-SMRA",P25=0),0,IF(AND($D52="F-SMRB",P25=0),0,IF(AND($D52="F-SMRC",P25=0),0,IF($D52='W2'!$A$68,'W2'!F318,IF($D52='W2'!$A$69,'W2'!F318,IF($D52='W2'!$A$70,'W2'!F318,ROUND(('Subcontract 1'!P25/'W2'!$E$5*'W2'!$E$9*(IF('Subcontract 1'!$D52='W2'!$A$47,'W2'!F$47,IF('Subcontract 1'!$D52='W2'!$A$48,'W2'!F$48,IF('Subcontract 1'!$D52='W2'!$A$49,'W2'!F$49,IF('Subcontract 1'!$D52='W2'!$A$50,'W2'!F$50,IF('Subcontract 1'!$D52='W2'!$A$51,'W2'!F$51,IF('Subcontract 1'!$D52='W2'!$A$52,'W2'!F$52,IF('Subcontract 1'!$D52='W2'!$A$53,'W2'!F$53,IF('Subcontract 1'!$D52='W2'!$A$54,'W2'!F$54,IF('Subcontract 1'!$D52='W2'!$A$55,'W2'!F$55))))))))))),0)+ROUND(P25/'W2'!$E$5*'W2'!$E$10*(IF('Subcontract 1'!$D52='W2'!$A$47,'W2'!G$47,IF('Subcontract 1'!$D52='W2'!$A$48,'W2'!G$48,IF('Subcontract 1'!$D52='W2'!$A$49,'W2'!G$49,IF('Subcontract 1'!$D52='W2'!$A$50,'W2'!G$50,IF('Subcontract 1'!$D52='W2'!$A$51,'W2'!G$51,IF('Subcontract 1'!$D52='W2'!$A$52,'W2'!G$52,IF('Subcontract 1'!$D52='W2'!$A$53,'W2'!G$53,IF('Subcontract 1'!$D52='W2'!$A$54,'W2'!G$54,IF('Subcontract 1'!$D52='W2'!$A$55,'W2'!G$55)))))))))),0))))))))</f>
        <v>0</v>
      </c>
      <c r="Q52" s="187">
        <f>IF(Q25=0,0,IF(AND($D52="F-SMRA",Q25=0),0,IF(AND($D52="F-SMRB",Q25=0),0,IF(AND($D52="F-SMRC",Q25=0),0,IF($D52='W2'!$A$68,'W2'!H318,IF($D52='W2'!$A$69,'W2'!H318,IF($D52='W2'!$A$70,'W2'!H318,ROUND(('Subcontract 1'!Q25/'W2'!$F$5*'W2'!$F$9*(IF('Subcontract 1'!$D52='W2'!$A$47,'W2'!H$47,IF('Subcontract 1'!$D52='W2'!$A$48,'W2'!H$48,IF('Subcontract 1'!$D52='W2'!$A$49,'W2'!H$49,IF('Subcontract 1'!$D52='W2'!$A$50,'W2'!H$50,IF('Subcontract 1'!$D52='W2'!$A$51,'W2'!H$51,IF('Subcontract 1'!$D52='W2'!$A$52,'W2'!H$52,IF('Subcontract 1'!$D52='W2'!$A$53,'W2'!H$53,IF('Subcontract 1'!$D52='W2'!$A$54,'W2'!H$54,IF('Subcontract 1'!$D52='W2'!$A$55,'W2'!H$55))))))))))),0)+ROUND(Q25/'W2'!$F$5*'W2'!$F$10*(IF('Subcontract 1'!$D52='W2'!$A$47,'W2'!I$47,IF('Subcontract 1'!$D52='W2'!$A$48,'W2'!I$48,IF('Subcontract 1'!$D52='W2'!$A$49,'W2'!I$49,IF('Subcontract 1'!$D52='W2'!$A$50,'W2'!I$50,IF('Subcontract 1'!$D52='W2'!$A$51,'W2'!I$51,IF('Subcontract 1'!$D52='W2'!$A$52,'W2'!I$52,IF('Subcontract 1'!$D52='W2'!$A$53,'W2'!I$53,IF('Subcontract 1'!$D52='W2'!$A$54,'W2'!I$54,IF('Subcontract 1'!$D52='W2'!$A$55,'W2'!I$55)))))))))),0))))))))</f>
        <v>0</v>
      </c>
      <c r="R52" s="187">
        <f>IF(R25=0,0,IF(AND($D52="F-SMRA",R25=0),0,IF(AND($D52="F-SMRB",R25=0),0,IF(AND($D52="F-SMRC",R25=0),0,IF($D52='W2'!$A$68,'W2'!J318,IF($D52='W2'!$A$69,'W2'!J318,IF($D52='W2'!$A$70,'W2'!J318,ROUND(('Subcontract 1'!R25/'W2'!$G$5*'W2'!$G$9*(IF('Subcontract 1'!$D52='W2'!$A$47,'W2'!J$47,IF('Subcontract 1'!$D52='W2'!$A$48,'W2'!J$48,IF('Subcontract 1'!$D52='W2'!$A$49,'W2'!J$49,IF('Subcontract 1'!$D52='W2'!$A$50,'W2'!J$50,IF('Subcontract 1'!$D52='W2'!$A$51,'W2'!J$51,IF('Subcontract 1'!$D52='W2'!$A$52,'W2'!J$52,IF('Subcontract 1'!$D52='W2'!$A$53,'W2'!J$53,IF('Subcontract 1'!$D52='W2'!$A$54,'W2'!J$54,IF('Subcontract 1'!$D52='W2'!$A$55,'W2'!J$55))))))))))),0)+ROUND(R25/'W2'!$G$5*'W2'!$G$10*(IF('Subcontract 1'!$D52='W2'!$A$47,'W2'!K$47,IF('Subcontract 1'!$D52='W2'!$A$48,'W2'!K$48,IF('Subcontract 1'!$D52='W2'!$A$49,'W2'!K$49,IF('Subcontract 1'!$D52='W2'!$A$50,'W2'!K$50,IF('Subcontract 1'!$D52='W2'!$A$51,'W2'!K$51,IF('Subcontract 1'!$D52='W2'!$A$52,'W2'!K$52,IF('Subcontract 1'!$D52='W2'!$A$53,'W2'!K$53,IF('Subcontract 1'!$D52='W2'!$A$54,'W2'!K$54,IF('Subcontract 1'!$D52='W2'!$A$55,'W2'!K$55)))))))))),0))))))))</f>
        <v>0</v>
      </c>
      <c r="S52" s="187">
        <f t="shared" si="6"/>
        <v>0</v>
      </c>
      <c r="T52" s="248"/>
      <c r="U52" s="248"/>
      <c r="V52" s="248"/>
      <c r="W52" s="248"/>
      <c r="X52" s="248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</row>
    <row r="53" spans="1:51" hidden="1" x14ac:dyDescent="0.2">
      <c r="A53" s="92">
        <v>19</v>
      </c>
      <c r="B53" s="381">
        <f t="shared" si="4"/>
        <v>0</v>
      </c>
      <c r="C53" s="382"/>
      <c r="D53" s="199" t="s">
        <v>52</v>
      </c>
      <c r="E53" s="265" t="str">
        <f>IF($D53='W2'!$A$59,'W2'!B$59,IF($D53='W2'!$A$60,'W2'!B$60,IF($D53='W2'!$A$61,'W2'!B$61,IF($D53='W2'!$A$62,'W2'!B$62,IF($D53='W2'!$A$63,'W2'!B$63,IF($D53='W2'!$A$64,'W2'!B$64,IF($D53='W2'!$A$65,'W2'!B$65,IF($D53='W2'!$A$66,'W2'!B$66,IF($D53='W2'!$A$67,'W2'!B$67,IF($D53='W2'!$A$68,'W2'!B293,IF($D53='W2'!$A$69,'W2'!B293,IF($D53='W2'!$A$70,'W2'!B293,IF($D53='W2'!$A$71,"")))))))))))))</f>
        <v/>
      </c>
      <c r="F53" s="378" t="str">
        <f>IF($D53='W2'!$A$59,'W2'!C$59,IF($D53='W2'!$A$60,'W2'!C$60,IF($D53='W2'!$A$61,'W2'!C$61,IF($D53='W2'!$A$62,'W2'!C$62,IF($D53='W2'!$A$63,'W2'!C$63,IF($D53='W2'!$A$64,'W2'!C$64,IF($D53='W2'!$A$65,'W2'!C$65,IF($D53='W2'!$A$66,'W2'!C$66,IF($D53='W2'!$A$67,'W2'!C$67,IF($D53='W2'!$A$68,'W2'!D293,IF($D53='W2'!$A$69,'W2'!D293,IF($D53='W2'!$A$70,'W2'!D293,IF($D53='W2'!$A$71,"")))))))))))))</f>
        <v/>
      </c>
      <c r="G53" s="379"/>
      <c r="H53" s="366" t="str">
        <f>IF($D53='W2'!$A$59,'W2'!D$59,IF($D53='W2'!$A$60,'W2'!D$60,IF($D53='W2'!$A$61,'W2'!D$61,IF($D53='W2'!$A$62,'W2'!D$62,IF($D53='W2'!$A$63,'W2'!D$63,IF($D53='W2'!$A$64,'W2'!D$64,IF($D53='W2'!$A$65,'W2'!D$65,IF($D53='W2'!$A$66,'W2'!D$66,IF($D53='W2'!$A$67,'W2'!D$67,IF($D53='W2'!$A$68,'W2'!F293,IF($D53='W2'!$A$69,'W2'!F293,IF($D53='W2'!$A$70,'W2'!F293,IF($D53='W2'!$A$71,"")))))))))))))</f>
        <v/>
      </c>
      <c r="I53" s="367"/>
      <c r="J53" s="366" t="str">
        <f>IF($D53='W2'!$A$59,'W2'!E$59,IF($D53='W2'!$A$60,'W2'!E$60,IF($D53='W2'!$A$61,'W2'!E$61,IF($D53='W2'!$A$62,'W2'!E$62,IF($D53='W2'!$A$63,'W2'!E$63,IF($D53='W2'!$A$64,'W2'!E$64,IF($D53='W2'!$A$65,'W2'!E$65,IF($D53='W2'!$A$66,'W2'!E$66,IF($D53='W2'!$A$67,'W2'!E$67,IF($D53='W2'!$A$68,'W2'!H293,IF($D53='W2'!$A$69,'W2'!H293,IF($D53='W2'!$A$70,'W2'!H293,IF($D53='W2'!$A$71,"")))))))))))))</f>
        <v/>
      </c>
      <c r="K53" s="367"/>
      <c r="L53" s="366" t="str">
        <f>IF($D53='W2'!$A$59,'W2'!F$59,IF($D53='W2'!$A$60,'W2'!F$60,IF($D53='W2'!$A$61,'W2'!F$61,IF($D53='W2'!$A$62,'W2'!F$62,IF($D53='W2'!$A$63,'W2'!F$63,IF($D53='W2'!$A$64,'W2'!F$64,IF($D53='W2'!$A$65,'W2'!F$65,IF($D53='W2'!$A$66,'W2'!F$66,IF($D53='W2'!$A$67,'W2'!F$67,IF($D53='W2'!$A$68,'W2'!J293,IF($D53='W2'!$A$69,'W2'!J293,IF($D53='W2'!$A$70,'W2'!J293,IF($D53='W2'!$A$71,"")))))))))))))</f>
        <v/>
      </c>
      <c r="M53" s="367"/>
      <c r="N53" s="187">
        <f>IF(N26=0,0,IF(AND($D53="F-SMRA",N26=0),0,IF(AND($D53="F-SMRB",N26=0),0,IF(AND($D53="F-SMRC",N26=0),0,IF($D53='W2'!$A$68,'W2'!B319,IF($D53='W2'!$A$69,'W2'!B319,IF($D53='W2'!$A$70,'W2'!B319,ROUND(('Subcontract 1'!N26/'W2'!$C$5*'W2'!$C$9*(IF('Subcontract 1'!$D53='W2'!$A$47,'W2'!B$47,IF('Subcontract 1'!$D53='W2'!$A$48,'W2'!B$48,IF('Subcontract 1'!$D53='W2'!$A$49,'W2'!B$49,IF('Subcontract 1'!$D53='W2'!$A$50,'W2'!B$50,IF('Subcontract 1'!$D53='W2'!$A$51,'W2'!B$51,IF('Subcontract 1'!$D53='W2'!$A$52,'W2'!B$52,IF('Subcontract 1'!$D53='W2'!$A$53,'W2'!B$53,IF('Subcontract 1'!$D53='W2'!$A$54,'W2'!B$54,IF('Subcontract 1'!$D53='W2'!$A$55,'W2'!B$55))))))))))),0)+ROUND(N26/'W2'!$C$5*'W2'!$C$10*(IF('Subcontract 1'!$D53='W2'!$A$47,'W2'!C$47,IF('Subcontract 1'!$D53='W2'!$A$48,'W2'!C$48,IF('Subcontract 1'!$D53='W2'!$A$49,'W2'!C$49,IF('Subcontract 1'!$D53='W2'!$A$50,'W2'!C$50,IF('Subcontract 1'!$D53='W2'!$A$51,'W2'!C$51,IF('Subcontract 1'!$D53='W2'!$A$52,'W2'!C$52,IF('Subcontract 1'!$D53='W2'!$A$53,'W2'!C$53,IF('Subcontract 1'!$D53='W2'!$A$54,'W2'!C$54,IF('Subcontract 1'!$D53='W2'!$A$55,'W2'!C$55)))))))))),0))))))))</f>
        <v>0</v>
      </c>
      <c r="O53" s="187">
        <f>IF(O26=0,0,IF(AND($D53="F-SMRA",O26=0),0,IF(AND($D53="F-SMRB",O26=0),0,IF(AND($D53="F-SMRC",O26=0),0,IF($D53='W2'!$A$68,'W2'!D319,IF($D53='W2'!$A$69,'W2'!D319,IF($D53='W2'!$A$70,'W2'!D319,ROUND(('Subcontract 1'!O26/'W2'!$D$5*'W2'!$D$9*(IF('Subcontract 1'!$D53='W2'!$A$47,'W2'!D$47,IF('Subcontract 1'!$D53='W2'!$A$48,'W2'!D$48,IF('Subcontract 1'!$D53='W2'!$A$49,'W2'!D$49,IF('Subcontract 1'!$D53='W2'!$A$50,'W2'!D$50,IF('Subcontract 1'!$D53='W2'!$A$51,'W2'!D$51,IF('Subcontract 1'!$D53='W2'!$A$52,'W2'!D$52,IF('Subcontract 1'!$D53='W2'!$A$53,'W2'!D$53,IF('Subcontract 1'!$D53='W2'!$A$54,'W2'!D$54,IF('Subcontract 1'!$D53='W2'!$A$55,'W2'!D$55))))))))))),0)+ROUND(O26/'W2'!$D$5*'W2'!$D$10*(IF('Subcontract 1'!$D53='W2'!$A$47,'W2'!E$47,IF('Subcontract 1'!$D53='W2'!$A$48,'W2'!E$48,IF('Subcontract 1'!$D53='W2'!$A$49,'W2'!E$49,IF('Subcontract 1'!$D53='W2'!$A$50,'W2'!E$50,IF('Subcontract 1'!$D53='W2'!$A$51,'W2'!E$51,IF('Subcontract 1'!$D53='W2'!$A$52,'W2'!E$52,IF('Subcontract 1'!$D53='W2'!$A$53,'W2'!E$53,IF('Subcontract 1'!$D53='W2'!$A$54,'W2'!E$54,IF('Subcontract 1'!$D53='W2'!$A$55,'W2'!E$55)))))))))),0))))))))</f>
        <v>0</v>
      </c>
      <c r="P53" s="187">
        <f>IF(P26=0,0,IF(AND($D53="F-SMRA",P26=0),0,IF(AND($D53="F-SMRB",P26=0),0,IF(AND($D53="F-SMRC",P26=0),0,IF($D53='W2'!$A$68,'W2'!F319,IF($D53='W2'!$A$69,'W2'!F319,IF($D53='W2'!$A$70,'W2'!F319,ROUND(('Subcontract 1'!P26/'W2'!$E$5*'W2'!$E$9*(IF('Subcontract 1'!$D53='W2'!$A$47,'W2'!F$47,IF('Subcontract 1'!$D53='W2'!$A$48,'W2'!F$48,IF('Subcontract 1'!$D53='W2'!$A$49,'W2'!F$49,IF('Subcontract 1'!$D53='W2'!$A$50,'W2'!F$50,IF('Subcontract 1'!$D53='W2'!$A$51,'W2'!F$51,IF('Subcontract 1'!$D53='W2'!$A$52,'W2'!F$52,IF('Subcontract 1'!$D53='W2'!$A$53,'W2'!F$53,IF('Subcontract 1'!$D53='W2'!$A$54,'W2'!F$54,IF('Subcontract 1'!$D53='W2'!$A$55,'W2'!F$55))))))))))),0)+ROUND(P26/'W2'!$E$5*'W2'!$E$10*(IF('Subcontract 1'!$D53='W2'!$A$47,'W2'!G$47,IF('Subcontract 1'!$D53='W2'!$A$48,'W2'!G$48,IF('Subcontract 1'!$D53='W2'!$A$49,'W2'!G$49,IF('Subcontract 1'!$D53='W2'!$A$50,'W2'!G$50,IF('Subcontract 1'!$D53='W2'!$A$51,'W2'!G$51,IF('Subcontract 1'!$D53='W2'!$A$52,'W2'!G$52,IF('Subcontract 1'!$D53='W2'!$A$53,'W2'!G$53,IF('Subcontract 1'!$D53='W2'!$A$54,'W2'!G$54,IF('Subcontract 1'!$D53='W2'!$A$55,'W2'!G$55)))))))))),0))))))))</f>
        <v>0</v>
      </c>
      <c r="Q53" s="187">
        <f>IF(Q26=0,0,IF(AND($D53="F-SMRA",Q26=0),0,IF(AND($D53="F-SMRB",Q26=0),0,IF(AND($D53="F-SMRC",Q26=0),0,IF($D53='W2'!$A$68,'W2'!H319,IF($D53='W2'!$A$69,'W2'!H319,IF($D53='W2'!$A$70,'W2'!H319,ROUND(('Subcontract 1'!Q26/'W2'!$F$5*'W2'!$F$9*(IF('Subcontract 1'!$D53='W2'!$A$47,'W2'!H$47,IF('Subcontract 1'!$D53='W2'!$A$48,'W2'!H$48,IF('Subcontract 1'!$D53='W2'!$A$49,'W2'!H$49,IF('Subcontract 1'!$D53='W2'!$A$50,'W2'!H$50,IF('Subcontract 1'!$D53='W2'!$A$51,'W2'!H$51,IF('Subcontract 1'!$D53='W2'!$A$52,'W2'!H$52,IF('Subcontract 1'!$D53='W2'!$A$53,'W2'!H$53,IF('Subcontract 1'!$D53='W2'!$A$54,'W2'!H$54,IF('Subcontract 1'!$D53='W2'!$A$55,'W2'!H$55))))))))))),0)+ROUND(Q26/'W2'!$F$5*'W2'!$F$10*(IF('Subcontract 1'!$D53='W2'!$A$47,'W2'!I$47,IF('Subcontract 1'!$D53='W2'!$A$48,'W2'!I$48,IF('Subcontract 1'!$D53='W2'!$A$49,'W2'!I$49,IF('Subcontract 1'!$D53='W2'!$A$50,'W2'!I$50,IF('Subcontract 1'!$D53='W2'!$A$51,'W2'!I$51,IF('Subcontract 1'!$D53='W2'!$A$52,'W2'!I$52,IF('Subcontract 1'!$D53='W2'!$A$53,'W2'!I$53,IF('Subcontract 1'!$D53='W2'!$A$54,'W2'!I$54,IF('Subcontract 1'!$D53='W2'!$A$55,'W2'!I$55)))))))))),0))))))))</f>
        <v>0</v>
      </c>
      <c r="R53" s="187">
        <f>IF(R26=0,0,IF(AND($D53="F-SMRA",R26=0),0,IF(AND($D53="F-SMRB",R26=0),0,IF(AND($D53="F-SMRC",R26=0),0,IF($D53='W2'!$A$68,'W2'!J319,IF($D53='W2'!$A$69,'W2'!J319,IF($D53='W2'!$A$70,'W2'!J319,ROUND(('Subcontract 1'!R26/'W2'!$G$5*'W2'!$G$9*(IF('Subcontract 1'!$D53='W2'!$A$47,'W2'!J$47,IF('Subcontract 1'!$D53='W2'!$A$48,'W2'!J$48,IF('Subcontract 1'!$D53='W2'!$A$49,'W2'!J$49,IF('Subcontract 1'!$D53='W2'!$A$50,'W2'!J$50,IF('Subcontract 1'!$D53='W2'!$A$51,'W2'!J$51,IF('Subcontract 1'!$D53='W2'!$A$52,'W2'!J$52,IF('Subcontract 1'!$D53='W2'!$A$53,'W2'!J$53,IF('Subcontract 1'!$D53='W2'!$A$54,'W2'!J$54,IF('Subcontract 1'!$D53='W2'!$A$55,'W2'!J$55))))))))))),0)+ROUND(R26/'W2'!$G$5*'W2'!$G$10*(IF('Subcontract 1'!$D53='W2'!$A$47,'W2'!K$47,IF('Subcontract 1'!$D53='W2'!$A$48,'W2'!K$48,IF('Subcontract 1'!$D53='W2'!$A$49,'W2'!K$49,IF('Subcontract 1'!$D53='W2'!$A$50,'W2'!K$50,IF('Subcontract 1'!$D53='W2'!$A$51,'W2'!K$51,IF('Subcontract 1'!$D53='W2'!$A$52,'W2'!K$52,IF('Subcontract 1'!$D53='W2'!$A$53,'W2'!K$53,IF('Subcontract 1'!$D53='W2'!$A$54,'W2'!K$54,IF('Subcontract 1'!$D53='W2'!$A$55,'W2'!K$55)))))))))),0))))))))</f>
        <v>0</v>
      </c>
      <c r="S53" s="187">
        <f t="shared" si="6"/>
        <v>0</v>
      </c>
      <c r="T53" s="248"/>
      <c r="U53" s="248"/>
      <c r="V53" s="248"/>
      <c r="W53" s="248"/>
      <c r="X53" s="248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</row>
    <row r="54" spans="1:51" hidden="1" x14ac:dyDescent="0.2">
      <c r="A54" s="92">
        <v>20</v>
      </c>
      <c r="B54" s="381">
        <f t="shared" si="4"/>
        <v>0</v>
      </c>
      <c r="C54" s="382"/>
      <c r="D54" s="199" t="s">
        <v>52</v>
      </c>
      <c r="E54" s="265" t="str">
        <f>IF($D54='W2'!$A$59,'W2'!B$59,IF($D54='W2'!$A$60,'W2'!B$60,IF($D54='W2'!$A$61,'W2'!B$61,IF($D54='W2'!$A$62,'W2'!B$62,IF($D54='W2'!$A$63,'W2'!B$63,IF($D54='W2'!$A$64,'W2'!B$64,IF($D54='W2'!$A$65,'W2'!B$65,IF($D54='W2'!$A$66,'W2'!B$66,IF($D54='W2'!$A$67,'W2'!B$67,IF($D54='W2'!$A$68,'W2'!B294,IF($D54='W2'!$A$69,'W2'!B294,IF($D54='W2'!$A$70,'W2'!B294,IF($D54='W2'!$A$71,"")))))))))))))</f>
        <v/>
      </c>
      <c r="F54" s="378" t="str">
        <f>IF($D54='W2'!$A$59,'W2'!C$59,IF($D54='W2'!$A$60,'W2'!C$60,IF($D54='W2'!$A$61,'W2'!C$61,IF($D54='W2'!$A$62,'W2'!C$62,IF($D54='W2'!$A$63,'W2'!C$63,IF($D54='W2'!$A$64,'W2'!C$64,IF($D54='W2'!$A$65,'W2'!C$65,IF($D54='W2'!$A$66,'W2'!C$66,IF($D54='W2'!$A$67,'W2'!C$67,IF($D54='W2'!$A$68,'W2'!D294,IF($D54='W2'!$A$69,'W2'!D294,IF($D54='W2'!$A$70,'W2'!D294,IF($D54='W2'!$A$71,"")))))))))))))</f>
        <v/>
      </c>
      <c r="G54" s="379"/>
      <c r="H54" s="366" t="str">
        <f>IF($D54='W2'!$A$59,'W2'!D$59,IF($D54='W2'!$A$60,'W2'!D$60,IF($D54='W2'!$A$61,'W2'!D$61,IF($D54='W2'!$A$62,'W2'!D$62,IF($D54='W2'!$A$63,'W2'!D$63,IF($D54='W2'!$A$64,'W2'!D$64,IF($D54='W2'!$A$65,'W2'!D$65,IF($D54='W2'!$A$66,'W2'!D$66,IF($D54='W2'!$A$67,'W2'!D$67,IF($D54='W2'!$A$68,'W2'!F294,IF($D54='W2'!$A$69,'W2'!F294,IF($D54='W2'!$A$70,'W2'!F294,IF($D54='W2'!$A$71,"")))))))))))))</f>
        <v/>
      </c>
      <c r="I54" s="367"/>
      <c r="J54" s="366" t="str">
        <f>IF($D54='W2'!$A$59,'W2'!E$59,IF($D54='W2'!$A$60,'W2'!E$60,IF($D54='W2'!$A$61,'W2'!E$61,IF($D54='W2'!$A$62,'W2'!E$62,IF($D54='W2'!$A$63,'W2'!E$63,IF($D54='W2'!$A$64,'W2'!E$64,IF($D54='W2'!$A$65,'W2'!E$65,IF($D54='W2'!$A$66,'W2'!E$66,IF($D54='W2'!$A$67,'W2'!E$67,IF($D54='W2'!$A$68,'W2'!H294,IF($D54='W2'!$A$69,'W2'!H294,IF($D54='W2'!$A$70,'W2'!H294,IF($D54='W2'!$A$71,"")))))))))))))</f>
        <v/>
      </c>
      <c r="K54" s="367"/>
      <c r="L54" s="366" t="str">
        <f>IF($D54='W2'!$A$59,'W2'!F$59,IF($D54='W2'!$A$60,'W2'!F$60,IF($D54='W2'!$A$61,'W2'!F$61,IF($D54='W2'!$A$62,'W2'!F$62,IF($D54='W2'!$A$63,'W2'!F$63,IF($D54='W2'!$A$64,'W2'!F$64,IF($D54='W2'!$A$65,'W2'!F$65,IF($D54='W2'!$A$66,'W2'!F$66,IF($D54='W2'!$A$67,'W2'!F$67,IF($D54='W2'!$A$68,'W2'!J294,IF($D54='W2'!$A$69,'W2'!J294,IF($D54='W2'!$A$70,'W2'!J294,IF($D54='W2'!$A$71,"")))))))))))))</f>
        <v/>
      </c>
      <c r="M54" s="367"/>
      <c r="N54" s="187">
        <f>IF(N27=0,0,IF(AND($D54="F-SMRA",N27=0),0,IF(AND($D54="F-SMRB",N27=0),0,IF(AND($D54="F-SMRC",N27=0),0,IF($D54='W2'!$A$68,'W2'!B320,IF($D54='W2'!$A$69,'W2'!B320,IF($D54='W2'!$A$70,'W2'!B320,ROUND(('Subcontract 1'!N27/'W2'!$C$5*'W2'!$C$9*(IF('Subcontract 1'!$D54='W2'!$A$47,'W2'!B$47,IF('Subcontract 1'!$D54='W2'!$A$48,'W2'!B$48,IF('Subcontract 1'!$D54='W2'!$A$49,'W2'!B$49,IF('Subcontract 1'!$D54='W2'!$A$50,'W2'!B$50,IF('Subcontract 1'!$D54='W2'!$A$51,'W2'!B$51,IF('Subcontract 1'!$D54='W2'!$A$52,'W2'!B$52,IF('Subcontract 1'!$D54='W2'!$A$53,'W2'!B$53,IF('Subcontract 1'!$D54='W2'!$A$54,'W2'!B$54,IF('Subcontract 1'!$D54='W2'!$A$55,'W2'!B$55))))))))))),0)+ROUND(N27/'W2'!$C$5*'W2'!$C$10*(IF('Subcontract 1'!$D54='W2'!$A$47,'W2'!C$47,IF('Subcontract 1'!$D54='W2'!$A$48,'W2'!C$48,IF('Subcontract 1'!$D54='W2'!$A$49,'W2'!C$49,IF('Subcontract 1'!$D54='W2'!$A$50,'W2'!C$50,IF('Subcontract 1'!$D54='W2'!$A$51,'W2'!C$51,IF('Subcontract 1'!$D54='W2'!$A$52,'W2'!C$52,IF('Subcontract 1'!$D54='W2'!$A$53,'W2'!C$53,IF('Subcontract 1'!$D54='W2'!$A$54,'W2'!C$54,IF('Subcontract 1'!$D54='W2'!$A$55,'W2'!C$55)))))))))),0))))))))</f>
        <v>0</v>
      </c>
      <c r="O54" s="187">
        <f>IF(O27=0,0,IF(AND($D54="F-SMRA",O27=0),0,IF(AND($D54="F-SMRB",O27=0),0,IF(AND($D54="F-SMRC",O27=0),0,IF($D54='W2'!$A$68,'W2'!D320,IF($D54='W2'!$A$69,'W2'!D320,IF($D54='W2'!$A$70,'W2'!D320,ROUND(('Subcontract 1'!O27/'W2'!$D$5*'W2'!$D$9*(IF('Subcontract 1'!$D54='W2'!$A$47,'W2'!D$47,IF('Subcontract 1'!$D54='W2'!$A$48,'W2'!D$48,IF('Subcontract 1'!$D54='W2'!$A$49,'W2'!D$49,IF('Subcontract 1'!$D54='W2'!$A$50,'W2'!D$50,IF('Subcontract 1'!$D54='W2'!$A$51,'W2'!D$51,IF('Subcontract 1'!$D54='W2'!$A$52,'W2'!D$52,IF('Subcontract 1'!$D54='W2'!$A$53,'W2'!D$53,IF('Subcontract 1'!$D54='W2'!$A$54,'W2'!D$54,IF('Subcontract 1'!$D54='W2'!$A$55,'W2'!D$55))))))))))),0)+ROUND(O27/'W2'!$D$5*'W2'!$D$10*(IF('Subcontract 1'!$D54='W2'!$A$47,'W2'!E$47,IF('Subcontract 1'!$D54='W2'!$A$48,'W2'!E$48,IF('Subcontract 1'!$D54='W2'!$A$49,'W2'!E$49,IF('Subcontract 1'!$D54='W2'!$A$50,'W2'!E$50,IF('Subcontract 1'!$D54='W2'!$A$51,'W2'!E$51,IF('Subcontract 1'!$D54='W2'!$A$52,'W2'!E$52,IF('Subcontract 1'!$D54='W2'!$A$53,'W2'!E$53,IF('Subcontract 1'!$D54='W2'!$A$54,'W2'!E$54,IF('Subcontract 1'!$D54='W2'!$A$55,'W2'!E$55)))))))))),0))))))))</f>
        <v>0</v>
      </c>
      <c r="P54" s="187">
        <f>IF(P27=0,0,IF(AND($D54="F-SMRA",P27=0),0,IF(AND($D54="F-SMRB",P27=0),0,IF(AND($D54="F-SMRC",P27=0),0,IF($D54='W2'!$A$68,'W2'!F320,IF($D54='W2'!$A$69,'W2'!F320,IF($D54='W2'!$A$70,'W2'!F320,ROUND(('Subcontract 1'!P27/'W2'!$E$5*'W2'!$E$9*(IF('Subcontract 1'!$D54='W2'!$A$47,'W2'!F$47,IF('Subcontract 1'!$D54='W2'!$A$48,'W2'!F$48,IF('Subcontract 1'!$D54='W2'!$A$49,'W2'!F$49,IF('Subcontract 1'!$D54='W2'!$A$50,'W2'!F$50,IF('Subcontract 1'!$D54='W2'!$A$51,'W2'!F$51,IF('Subcontract 1'!$D54='W2'!$A$52,'W2'!F$52,IF('Subcontract 1'!$D54='W2'!$A$53,'W2'!F$53,IF('Subcontract 1'!$D54='W2'!$A$54,'W2'!F$54,IF('Subcontract 1'!$D54='W2'!$A$55,'W2'!F$55))))))))))),0)+ROUND(P27/'W2'!$E$5*'W2'!$E$10*(IF('Subcontract 1'!$D54='W2'!$A$47,'W2'!G$47,IF('Subcontract 1'!$D54='W2'!$A$48,'W2'!G$48,IF('Subcontract 1'!$D54='W2'!$A$49,'W2'!G$49,IF('Subcontract 1'!$D54='W2'!$A$50,'W2'!G$50,IF('Subcontract 1'!$D54='W2'!$A$51,'W2'!G$51,IF('Subcontract 1'!$D54='W2'!$A$52,'W2'!G$52,IF('Subcontract 1'!$D54='W2'!$A$53,'W2'!G$53,IF('Subcontract 1'!$D54='W2'!$A$54,'W2'!G$54,IF('Subcontract 1'!$D54='W2'!$A$55,'W2'!G$55)))))))))),0))))))))</f>
        <v>0</v>
      </c>
      <c r="Q54" s="187">
        <f>IF(Q27=0,0,IF(AND($D54="F-SMRA",Q27=0),0,IF(AND($D54="F-SMRB",Q27=0),0,IF(AND($D54="F-SMRC",Q27=0),0,IF($D54='W2'!$A$68,'W2'!H320,IF($D54='W2'!$A$69,'W2'!H320,IF($D54='W2'!$A$70,'W2'!H320,ROUND(('Subcontract 1'!Q27/'W2'!$F$5*'W2'!$F$9*(IF('Subcontract 1'!$D54='W2'!$A$47,'W2'!H$47,IF('Subcontract 1'!$D54='W2'!$A$48,'W2'!H$48,IF('Subcontract 1'!$D54='W2'!$A$49,'W2'!H$49,IF('Subcontract 1'!$D54='W2'!$A$50,'W2'!H$50,IF('Subcontract 1'!$D54='W2'!$A$51,'W2'!H$51,IF('Subcontract 1'!$D54='W2'!$A$52,'W2'!H$52,IF('Subcontract 1'!$D54='W2'!$A$53,'W2'!H$53,IF('Subcontract 1'!$D54='W2'!$A$54,'W2'!H$54,IF('Subcontract 1'!$D54='W2'!$A$55,'W2'!H$55))))))))))),0)+ROUND(Q27/'W2'!$F$5*'W2'!$F$10*(IF('Subcontract 1'!$D54='W2'!$A$47,'W2'!I$47,IF('Subcontract 1'!$D54='W2'!$A$48,'W2'!I$48,IF('Subcontract 1'!$D54='W2'!$A$49,'W2'!I$49,IF('Subcontract 1'!$D54='W2'!$A$50,'W2'!I$50,IF('Subcontract 1'!$D54='W2'!$A$51,'W2'!I$51,IF('Subcontract 1'!$D54='W2'!$A$52,'W2'!I$52,IF('Subcontract 1'!$D54='W2'!$A$53,'W2'!I$53,IF('Subcontract 1'!$D54='W2'!$A$54,'W2'!I$54,IF('Subcontract 1'!$D54='W2'!$A$55,'W2'!I$55)))))))))),0))))))))</f>
        <v>0</v>
      </c>
      <c r="R54" s="187">
        <f>IF(R27=0,0,IF(AND($D54="F-SMRA",R27=0),0,IF(AND($D54="F-SMRB",R27=0),0,IF(AND($D54="F-SMRC",R27=0),0,IF($D54='W2'!$A$68,'W2'!J320,IF($D54='W2'!$A$69,'W2'!J320,IF($D54='W2'!$A$70,'W2'!J320,ROUND(('Subcontract 1'!R27/'W2'!$G$5*'W2'!$G$9*(IF('Subcontract 1'!$D54='W2'!$A$47,'W2'!J$47,IF('Subcontract 1'!$D54='W2'!$A$48,'W2'!J$48,IF('Subcontract 1'!$D54='W2'!$A$49,'W2'!J$49,IF('Subcontract 1'!$D54='W2'!$A$50,'W2'!J$50,IF('Subcontract 1'!$D54='W2'!$A$51,'W2'!J$51,IF('Subcontract 1'!$D54='W2'!$A$52,'W2'!J$52,IF('Subcontract 1'!$D54='W2'!$A$53,'W2'!J$53,IF('Subcontract 1'!$D54='W2'!$A$54,'W2'!J$54,IF('Subcontract 1'!$D54='W2'!$A$55,'W2'!J$55))))))))))),0)+ROUND(R27/'W2'!$G$5*'W2'!$G$10*(IF('Subcontract 1'!$D54='W2'!$A$47,'W2'!K$47,IF('Subcontract 1'!$D54='W2'!$A$48,'W2'!K$48,IF('Subcontract 1'!$D54='W2'!$A$49,'W2'!K$49,IF('Subcontract 1'!$D54='W2'!$A$50,'W2'!K$50,IF('Subcontract 1'!$D54='W2'!$A$51,'W2'!K$51,IF('Subcontract 1'!$D54='W2'!$A$52,'W2'!K$52,IF('Subcontract 1'!$D54='W2'!$A$53,'W2'!K$53,IF('Subcontract 1'!$D54='W2'!$A$54,'W2'!K$54,IF('Subcontract 1'!$D54='W2'!$A$55,'W2'!K$55)))))))))),0))))))))</f>
        <v>0</v>
      </c>
      <c r="S54" s="187">
        <f t="shared" si="6"/>
        <v>0</v>
      </c>
      <c r="T54" s="248"/>
      <c r="U54" s="248"/>
      <c r="V54" s="248"/>
      <c r="W54" s="248"/>
      <c r="X54" s="248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</row>
    <row r="55" spans="1:51" hidden="1" x14ac:dyDescent="0.2">
      <c r="A55" s="92">
        <v>21</v>
      </c>
      <c r="B55" s="381">
        <f t="shared" si="4"/>
        <v>0</v>
      </c>
      <c r="C55" s="382"/>
      <c r="D55" s="199" t="s">
        <v>52</v>
      </c>
      <c r="E55" s="265" t="str">
        <f>IF($D55='W2'!$A$59,'W2'!B$59,IF($D55='W2'!$A$60,'W2'!B$60,IF($D55='W2'!$A$61,'W2'!B$61,IF($D55='W2'!$A$62,'W2'!B$62,IF($D55='W2'!$A$63,'W2'!B$63,IF($D55='W2'!$A$64,'W2'!B$64,IF($D55='W2'!$A$65,'W2'!B$65,IF($D55='W2'!$A$66,'W2'!B$66,IF($D55='W2'!$A$67,'W2'!B$67,IF($D55='W2'!$A$68,'W2'!B295,IF($D55='W2'!$A$69,'W2'!B295,IF($D55='W2'!$A$70,'W2'!B295,IF($D55='W2'!$A$71,"")))))))))))))</f>
        <v/>
      </c>
      <c r="F55" s="378" t="str">
        <f>IF($D55='W2'!$A$59,'W2'!C$59,IF($D55='W2'!$A$60,'W2'!C$60,IF($D55='W2'!$A$61,'W2'!C$61,IF($D55='W2'!$A$62,'W2'!C$62,IF($D55='W2'!$A$63,'W2'!C$63,IF($D55='W2'!$A$64,'W2'!C$64,IF($D55='W2'!$A$65,'W2'!C$65,IF($D55='W2'!$A$66,'W2'!C$66,IF($D55='W2'!$A$67,'W2'!C$67,IF($D55='W2'!$A$68,'W2'!D295,IF($D55='W2'!$A$69,'W2'!D295,IF($D55='W2'!$A$70,'W2'!D295,IF($D55='W2'!$A$71,"")))))))))))))</f>
        <v/>
      </c>
      <c r="G55" s="379"/>
      <c r="H55" s="366" t="str">
        <f>IF($D55='W2'!$A$59,'W2'!D$59,IF($D55='W2'!$A$60,'W2'!D$60,IF($D55='W2'!$A$61,'W2'!D$61,IF($D55='W2'!$A$62,'W2'!D$62,IF($D55='W2'!$A$63,'W2'!D$63,IF($D55='W2'!$A$64,'W2'!D$64,IF($D55='W2'!$A$65,'W2'!D$65,IF($D55='W2'!$A$66,'W2'!D$66,IF($D55='W2'!$A$67,'W2'!D$67,IF($D55='W2'!$A$68,'W2'!F295,IF($D55='W2'!$A$69,'W2'!F295,IF($D55='W2'!$A$70,'W2'!F295,IF($D55='W2'!$A$71,"")))))))))))))</f>
        <v/>
      </c>
      <c r="I55" s="367"/>
      <c r="J55" s="366" t="str">
        <f>IF($D55='W2'!$A$59,'W2'!E$59,IF($D55='W2'!$A$60,'W2'!E$60,IF($D55='W2'!$A$61,'W2'!E$61,IF($D55='W2'!$A$62,'W2'!E$62,IF($D55='W2'!$A$63,'W2'!E$63,IF($D55='W2'!$A$64,'W2'!E$64,IF($D55='W2'!$A$65,'W2'!E$65,IF($D55='W2'!$A$66,'W2'!E$66,IF($D55='W2'!$A$67,'W2'!E$67,IF($D55='W2'!$A$68,'W2'!H295,IF($D55='W2'!$A$69,'W2'!H295,IF($D55='W2'!$A$70,'W2'!H295,IF($D55='W2'!$A$71,"")))))))))))))</f>
        <v/>
      </c>
      <c r="K55" s="367"/>
      <c r="L55" s="366" t="str">
        <f>IF($D55='W2'!$A$59,'W2'!F$59,IF($D55='W2'!$A$60,'W2'!F$60,IF($D55='W2'!$A$61,'W2'!F$61,IF($D55='W2'!$A$62,'W2'!F$62,IF($D55='W2'!$A$63,'W2'!F$63,IF($D55='W2'!$A$64,'W2'!F$64,IF($D55='W2'!$A$65,'W2'!F$65,IF($D55='W2'!$A$66,'W2'!F$66,IF($D55='W2'!$A$67,'W2'!F$67,IF($D55='W2'!$A$68,'W2'!J295,IF($D55='W2'!$A$69,'W2'!J295,IF($D55='W2'!$A$70,'W2'!J295,IF($D55='W2'!$A$71,"")))))))))))))</f>
        <v/>
      </c>
      <c r="M55" s="367"/>
      <c r="N55" s="187">
        <f>IF(N28=0,0,IF(AND($D55="F-SMRA",N28=0),0,IF(AND($D55="F-SMRB",N28=0),0,IF(AND($D55="F-SMRC",N28=0),0,IF($D55='W2'!$A$68,'W2'!B321,IF($D55='W2'!$A$69,'W2'!B321,IF($D55='W2'!$A$70,'W2'!B321,ROUND(('Subcontract 1'!N28/'W2'!$C$5*'W2'!$C$9*(IF('Subcontract 1'!$D55='W2'!$A$47,'W2'!B$47,IF('Subcontract 1'!$D55='W2'!$A$48,'W2'!B$48,IF('Subcontract 1'!$D55='W2'!$A$49,'W2'!B$49,IF('Subcontract 1'!$D55='W2'!$A$50,'W2'!B$50,IF('Subcontract 1'!$D55='W2'!$A$51,'W2'!B$51,IF('Subcontract 1'!$D55='W2'!$A$52,'W2'!B$52,IF('Subcontract 1'!$D55='W2'!$A$53,'W2'!B$53,IF('Subcontract 1'!$D55='W2'!$A$54,'W2'!B$54,IF('Subcontract 1'!$D55='W2'!$A$55,'W2'!B$55))))))))))),0)+ROUND(N28/'W2'!$C$5*'W2'!$C$10*(IF('Subcontract 1'!$D55='W2'!$A$47,'W2'!C$47,IF('Subcontract 1'!$D55='W2'!$A$48,'W2'!C$48,IF('Subcontract 1'!$D55='W2'!$A$49,'W2'!C$49,IF('Subcontract 1'!$D55='W2'!$A$50,'W2'!C$50,IF('Subcontract 1'!$D55='W2'!$A$51,'W2'!C$51,IF('Subcontract 1'!$D55='W2'!$A$52,'W2'!C$52,IF('Subcontract 1'!$D55='W2'!$A$53,'W2'!C$53,IF('Subcontract 1'!$D55='W2'!$A$54,'W2'!C$54,IF('Subcontract 1'!$D55='W2'!$A$55,'W2'!C$55)))))))))),0))))))))</f>
        <v>0</v>
      </c>
      <c r="O55" s="187">
        <f>IF(O28=0,0,IF(AND($D55="F-SMRA",O28=0),0,IF(AND($D55="F-SMRB",O28=0),0,IF(AND($D55="F-SMRC",O28=0),0,IF($D55='W2'!$A$68,'W2'!D321,IF($D55='W2'!$A$69,'W2'!D321,IF($D55='W2'!$A$70,'W2'!D321,ROUND(('Subcontract 1'!O28/'W2'!$D$5*'W2'!$D$9*(IF('Subcontract 1'!$D55='W2'!$A$47,'W2'!D$47,IF('Subcontract 1'!$D55='W2'!$A$48,'W2'!D$48,IF('Subcontract 1'!$D55='W2'!$A$49,'W2'!D$49,IF('Subcontract 1'!$D55='W2'!$A$50,'W2'!D$50,IF('Subcontract 1'!$D55='W2'!$A$51,'W2'!D$51,IF('Subcontract 1'!$D55='W2'!$A$52,'W2'!D$52,IF('Subcontract 1'!$D55='W2'!$A$53,'W2'!D$53,IF('Subcontract 1'!$D55='W2'!$A$54,'W2'!D$54,IF('Subcontract 1'!$D55='W2'!$A$55,'W2'!D$55))))))))))),0)+ROUND(O28/'W2'!$D$5*'W2'!$D$10*(IF('Subcontract 1'!$D55='W2'!$A$47,'W2'!E$47,IF('Subcontract 1'!$D55='W2'!$A$48,'W2'!E$48,IF('Subcontract 1'!$D55='W2'!$A$49,'W2'!E$49,IF('Subcontract 1'!$D55='W2'!$A$50,'W2'!E$50,IF('Subcontract 1'!$D55='W2'!$A$51,'W2'!E$51,IF('Subcontract 1'!$D55='W2'!$A$52,'W2'!E$52,IF('Subcontract 1'!$D55='W2'!$A$53,'W2'!E$53,IF('Subcontract 1'!$D55='W2'!$A$54,'W2'!E$54,IF('Subcontract 1'!$D55='W2'!$A$55,'W2'!E$55)))))))))),0))))))))</f>
        <v>0</v>
      </c>
      <c r="P55" s="187">
        <f>IF(P28=0,0,IF(AND($D55="F-SMRA",P28=0),0,IF(AND($D55="F-SMRB",P28=0),0,IF(AND($D55="F-SMRC",P28=0),0,IF($D55='W2'!$A$68,'W2'!F321,IF($D55='W2'!$A$69,'W2'!F321,IF($D55='W2'!$A$70,'W2'!F321,ROUND(('Subcontract 1'!P28/'W2'!$E$5*'W2'!$E$9*(IF('Subcontract 1'!$D55='W2'!$A$47,'W2'!F$47,IF('Subcontract 1'!$D55='W2'!$A$48,'W2'!F$48,IF('Subcontract 1'!$D55='W2'!$A$49,'W2'!F$49,IF('Subcontract 1'!$D55='W2'!$A$50,'W2'!F$50,IF('Subcontract 1'!$D55='W2'!$A$51,'W2'!F$51,IF('Subcontract 1'!$D55='W2'!$A$52,'W2'!F$52,IF('Subcontract 1'!$D55='W2'!$A$53,'W2'!F$53,IF('Subcontract 1'!$D55='W2'!$A$54,'W2'!F$54,IF('Subcontract 1'!$D55='W2'!$A$55,'W2'!F$55))))))))))),0)+ROUND(P28/'W2'!$E$5*'W2'!$E$10*(IF('Subcontract 1'!$D55='W2'!$A$47,'W2'!G$47,IF('Subcontract 1'!$D55='W2'!$A$48,'W2'!G$48,IF('Subcontract 1'!$D55='W2'!$A$49,'W2'!G$49,IF('Subcontract 1'!$D55='W2'!$A$50,'W2'!G$50,IF('Subcontract 1'!$D55='W2'!$A$51,'W2'!G$51,IF('Subcontract 1'!$D55='W2'!$A$52,'W2'!G$52,IF('Subcontract 1'!$D55='W2'!$A$53,'W2'!G$53,IF('Subcontract 1'!$D55='W2'!$A$54,'W2'!G$54,IF('Subcontract 1'!$D55='W2'!$A$55,'W2'!G$55)))))))))),0))))))))</f>
        <v>0</v>
      </c>
      <c r="Q55" s="187">
        <f>IF(Q28=0,0,IF(AND($D55="F-SMRA",Q28=0),0,IF(AND($D55="F-SMRB",Q28=0),0,IF(AND($D55="F-SMRC",Q28=0),0,IF($D55='W2'!$A$68,'W2'!H321,IF($D55='W2'!$A$69,'W2'!H321,IF($D55='W2'!$A$70,'W2'!H321,ROUND(('Subcontract 1'!Q28/'W2'!$F$5*'W2'!$F$9*(IF('Subcontract 1'!$D55='W2'!$A$47,'W2'!H$47,IF('Subcontract 1'!$D55='W2'!$A$48,'W2'!H$48,IF('Subcontract 1'!$D55='W2'!$A$49,'W2'!H$49,IF('Subcontract 1'!$D55='W2'!$A$50,'W2'!H$50,IF('Subcontract 1'!$D55='W2'!$A$51,'W2'!H$51,IF('Subcontract 1'!$D55='W2'!$A$52,'W2'!H$52,IF('Subcontract 1'!$D55='W2'!$A$53,'W2'!H$53,IF('Subcontract 1'!$D55='W2'!$A$54,'W2'!H$54,IF('Subcontract 1'!$D55='W2'!$A$55,'W2'!H$55))))))))))),0)+ROUND(Q28/'W2'!$F$5*'W2'!$F$10*(IF('Subcontract 1'!$D55='W2'!$A$47,'W2'!I$47,IF('Subcontract 1'!$D55='W2'!$A$48,'W2'!I$48,IF('Subcontract 1'!$D55='W2'!$A$49,'W2'!I$49,IF('Subcontract 1'!$D55='W2'!$A$50,'W2'!I$50,IF('Subcontract 1'!$D55='W2'!$A$51,'W2'!I$51,IF('Subcontract 1'!$D55='W2'!$A$52,'W2'!I$52,IF('Subcontract 1'!$D55='W2'!$A$53,'W2'!I$53,IF('Subcontract 1'!$D55='W2'!$A$54,'W2'!I$54,IF('Subcontract 1'!$D55='W2'!$A$55,'W2'!I$55)))))))))),0))))))))</f>
        <v>0</v>
      </c>
      <c r="R55" s="187">
        <f>IF(R28=0,0,IF(AND($D55="F-SMRA",R28=0),0,IF(AND($D55="F-SMRB",R28=0),0,IF(AND($D55="F-SMRC",R28=0),0,IF($D55='W2'!$A$68,'W2'!J321,IF($D55='W2'!$A$69,'W2'!J321,IF($D55='W2'!$A$70,'W2'!J321,ROUND(('Subcontract 1'!R28/'W2'!$G$5*'W2'!$G$9*(IF('Subcontract 1'!$D55='W2'!$A$47,'W2'!J$47,IF('Subcontract 1'!$D55='W2'!$A$48,'W2'!J$48,IF('Subcontract 1'!$D55='W2'!$A$49,'W2'!J$49,IF('Subcontract 1'!$D55='W2'!$A$50,'W2'!J$50,IF('Subcontract 1'!$D55='W2'!$A$51,'W2'!J$51,IF('Subcontract 1'!$D55='W2'!$A$52,'W2'!J$52,IF('Subcontract 1'!$D55='W2'!$A$53,'W2'!J$53,IF('Subcontract 1'!$D55='W2'!$A$54,'W2'!J$54,IF('Subcontract 1'!$D55='W2'!$A$55,'W2'!J$55))))))))))),0)+ROUND(R28/'W2'!$G$5*'W2'!$G$10*(IF('Subcontract 1'!$D55='W2'!$A$47,'W2'!K$47,IF('Subcontract 1'!$D55='W2'!$A$48,'W2'!K$48,IF('Subcontract 1'!$D55='W2'!$A$49,'W2'!K$49,IF('Subcontract 1'!$D55='W2'!$A$50,'W2'!K$50,IF('Subcontract 1'!$D55='W2'!$A$51,'W2'!K$51,IF('Subcontract 1'!$D55='W2'!$A$52,'W2'!K$52,IF('Subcontract 1'!$D55='W2'!$A$53,'W2'!K$53,IF('Subcontract 1'!$D55='W2'!$A$54,'W2'!K$54,IF('Subcontract 1'!$D55='W2'!$A$55,'W2'!K$55)))))))))),0))))))))</f>
        <v>0</v>
      </c>
      <c r="S55" s="187">
        <f t="shared" si="6"/>
        <v>0</v>
      </c>
      <c r="T55" s="248"/>
      <c r="U55" s="248"/>
      <c r="V55" s="248"/>
      <c r="W55" s="248"/>
      <c r="X55" s="248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</row>
    <row r="56" spans="1:51" hidden="1" x14ac:dyDescent="0.2">
      <c r="A56" s="92">
        <v>22</v>
      </c>
      <c r="B56" s="381">
        <f t="shared" si="4"/>
        <v>0</v>
      </c>
      <c r="C56" s="382"/>
      <c r="D56" s="199" t="s">
        <v>52</v>
      </c>
      <c r="E56" s="265" t="str">
        <f>IF($D56='W2'!$A$59,'W2'!B$59,IF($D56='W2'!$A$60,'W2'!B$60,IF($D56='W2'!$A$61,'W2'!B$61,IF($D56='W2'!$A$62,'W2'!B$62,IF($D56='W2'!$A$63,'W2'!B$63,IF($D56='W2'!$A$64,'W2'!B$64,IF($D56='W2'!$A$65,'W2'!B$65,IF($D56='W2'!$A$66,'W2'!B$66,IF($D56='W2'!$A$67,'W2'!B$67,IF($D56='W2'!$A$68,'W2'!B296,IF($D56='W2'!$A$69,'W2'!B296,IF($D56='W2'!$A$70,'W2'!B296,IF($D56='W2'!$A$71,"")))))))))))))</f>
        <v/>
      </c>
      <c r="F56" s="378" t="str">
        <f>IF($D56='W2'!$A$59,'W2'!C$59,IF($D56='W2'!$A$60,'W2'!C$60,IF($D56='W2'!$A$61,'W2'!C$61,IF($D56='W2'!$A$62,'W2'!C$62,IF($D56='W2'!$A$63,'W2'!C$63,IF($D56='W2'!$A$64,'W2'!C$64,IF($D56='W2'!$A$65,'W2'!C$65,IF($D56='W2'!$A$66,'W2'!C$66,IF($D56='W2'!$A$67,'W2'!C$67,IF($D56='W2'!$A$68,'W2'!D296,IF($D56='W2'!$A$69,'W2'!D296,IF($D56='W2'!$A$70,'W2'!D296,IF($D56='W2'!$A$71,"")))))))))))))</f>
        <v/>
      </c>
      <c r="G56" s="379"/>
      <c r="H56" s="366" t="str">
        <f>IF($D56='W2'!$A$59,'W2'!D$59,IF($D56='W2'!$A$60,'W2'!D$60,IF($D56='W2'!$A$61,'W2'!D$61,IF($D56='W2'!$A$62,'W2'!D$62,IF($D56='W2'!$A$63,'W2'!D$63,IF($D56='W2'!$A$64,'W2'!D$64,IF($D56='W2'!$A$65,'W2'!D$65,IF($D56='W2'!$A$66,'W2'!D$66,IF($D56='W2'!$A$67,'W2'!D$67,IF($D56='W2'!$A$68,'W2'!F296,IF($D56='W2'!$A$69,'W2'!F296,IF($D56='W2'!$A$70,'W2'!F296,IF($D56='W2'!$A$71,"")))))))))))))</f>
        <v/>
      </c>
      <c r="I56" s="367"/>
      <c r="J56" s="366" t="str">
        <f>IF($D56='W2'!$A$59,'W2'!E$59,IF($D56='W2'!$A$60,'W2'!E$60,IF($D56='W2'!$A$61,'W2'!E$61,IF($D56='W2'!$A$62,'W2'!E$62,IF($D56='W2'!$A$63,'W2'!E$63,IF($D56='W2'!$A$64,'W2'!E$64,IF($D56='W2'!$A$65,'W2'!E$65,IF($D56='W2'!$A$66,'W2'!E$66,IF($D56='W2'!$A$67,'W2'!E$67,IF($D56='W2'!$A$68,'W2'!H296,IF($D56='W2'!$A$69,'W2'!H296,IF($D56='W2'!$A$70,'W2'!H296,IF($D56='W2'!$A$71,"")))))))))))))</f>
        <v/>
      </c>
      <c r="K56" s="367"/>
      <c r="L56" s="366" t="str">
        <f>IF($D56='W2'!$A$59,'W2'!F$59,IF($D56='W2'!$A$60,'W2'!F$60,IF($D56='W2'!$A$61,'W2'!F$61,IF($D56='W2'!$A$62,'W2'!F$62,IF($D56='W2'!$A$63,'W2'!F$63,IF($D56='W2'!$A$64,'W2'!F$64,IF($D56='W2'!$A$65,'W2'!F$65,IF($D56='W2'!$A$66,'W2'!F$66,IF($D56='W2'!$A$67,'W2'!F$67,IF($D56='W2'!$A$68,'W2'!J296,IF($D56='W2'!$A$69,'W2'!J296,IF($D56='W2'!$A$70,'W2'!J296,IF($D56='W2'!$A$71,"")))))))))))))</f>
        <v/>
      </c>
      <c r="M56" s="367"/>
      <c r="N56" s="187">
        <f>IF(N29=0,0,IF(AND($D56="F-SMRA",N29=0),0,IF(AND($D56="F-SMRB",N29=0),0,IF(AND($D56="F-SMRC",N29=0),0,IF($D56='W2'!$A$68,'W2'!B322,IF($D56='W2'!$A$69,'W2'!B322,IF($D56='W2'!$A$70,'W2'!B322,ROUND(('Subcontract 1'!N29/'W2'!$C$5*'W2'!$C$9*(IF('Subcontract 1'!$D56='W2'!$A$47,'W2'!B$47,IF('Subcontract 1'!$D56='W2'!$A$48,'W2'!B$48,IF('Subcontract 1'!$D56='W2'!$A$49,'W2'!B$49,IF('Subcontract 1'!$D56='W2'!$A$50,'W2'!B$50,IF('Subcontract 1'!$D56='W2'!$A$51,'W2'!B$51,IF('Subcontract 1'!$D56='W2'!$A$52,'W2'!B$52,IF('Subcontract 1'!$D56='W2'!$A$53,'W2'!B$53,IF('Subcontract 1'!$D56='W2'!$A$54,'W2'!B$54,IF('Subcontract 1'!$D56='W2'!$A$55,'W2'!B$55))))))))))),0)+ROUND(N29/'W2'!$C$5*'W2'!$C$10*(IF('Subcontract 1'!$D56='W2'!$A$47,'W2'!C$47,IF('Subcontract 1'!$D56='W2'!$A$48,'W2'!C$48,IF('Subcontract 1'!$D56='W2'!$A$49,'W2'!C$49,IF('Subcontract 1'!$D56='W2'!$A$50,'W2'!C$50,IF('Subcontract 1'!$D56='W2'!$A$51,'W2'!C$51,IF('Subcontract 1'!$D56='W2'!$A$52,'W2'!C$52,IF('Subcontract 1'!$D56='W2'!$A$53,'W2'!C$53,IF('Subcontract 1'!$D56='W2'!$A$54,'W2'!C$54,IF('Subcontract 1'!$D56='W2'!$A$55,'W2'!C$55)))))))))),0))))))))</f>
        <v>0</v>
      </c>
      <c r="O56" s="187">
        <f>IF(O29=0,0,IF(AND($D56="F-SMRA",O29=0),0,IF(AND($D56="F-SMRB",O29=0),0,IF(AND($D56="F-SMRC",O29=0),0,IF($D56='W2'!$A$68,'W2'!D322,IF($D56='W2'!$A$69,'W2'!D322,IF($D56='W2'!$A$70,'W2'!D322,ROUND(('Subcontract 1'!O29/'W2'!$D$5*'W2'!$D$9*(IF('Subcontract 1'!$D56='W2'!$A$47,'W2'!D$47,IF('Subcontract 1'!$D56='W2'!$A$48,'W2'!D$48,IF('Subcontract 1'!$D56='W2'!$A$49,'W2'!D$49,IF('Subcontract 1'!$D56='W2'!$A$50,'W2'!D$50,IF('Subcontract 1'!$D56='W2'!$A$51,'W2'!D$51,IF('Subcontract 1'!$D56='W2'!$A$52,'W2'!D$52,IF('Subcontract 1'!$D56='W2'!$A$53,'W2'!D$53,IF('Subcontract 1'!$D56='W2'!$A$54,'W2'!D$54,IF('Subcontract 1'!$D56='W2'!$A$55,'W2'!D$55))))))))))),0)+ROUND(O29/'W2'!$D$5*'W2'!$D$10*(IF('Subcontract 1'!$D56='W2'!$A$47,'W2'!E$47,IF('Subcontract 1'!$D56='W2'!$A$48,'W2'!E$48,IF('Subcontract 1'!$D56='W2'!$A$49,'W2'!E$49,IF('Subcontract 1'!$D56='W2'!$A$50,'W2'!E$50,IF('Subcontract 1'!$D56='W2'!$A$51,'W2'!E$51,IF('Subcontract 1'!$D56='W2'!$A$52,'W2'!E$52,IF('Subcontract 1'!$D56='W2'!$A$53,'W2'!E$53,IF('Subcontract 1'!$D56='W2'!$A$54,'W2'!E$54,IF('Subcontract 1'!$D56='W2'!$A$55,'W2'!E$55)))))))))),0))))))))</f>
        <v>0</v>
      </c>
      <c r="P56" s="187">
        <f>IF(P29=0,0,IF(AND($D56="F-SMRA",P29=0),0,IF(AND($D56="F-SMRB",P29=0),0,IF(AND($D56="F-SMRC",P29=0),0,IF($D56='W2'!$A$68,'W2'!F322,IF($D56='W2'!$A$69,'W2'!F322,IF($D56='W2'!$A$70,'W2'!F322,ROUND(('Subcontract 1'!P29/'W2'!$E$5*'W2'!$E$9*(IF('Subcontract 1'!$D56='W2'!$A$47,'W2'!F$47,IF('Subcontract 1'!$D56='W2'!$A$48,'W2'!F$48,IF('Subcontract 1'!$D56='W2'!$A$49,'W2'!F$49,IF('Subcontract 1'!$D56='W2'!$A$50,'W2'!F$50,IF('Subcontract 1'!$D56='W2'!$A$51,'W2'!F$51,IF('Subcontract 1'!$D56='W2'!$A$52,'W2'!F$52,IF('Subcontract 1'!$D56='W2'!$A$53,'W2'!F$53,IF('Subcontract 1'!$D56='W2'!$A$54,'W2'!F$54,IF('Subcontract 1'!$D56='W2'!$A$55,'W2'!F$55))))))))))),0)+ROUND(P29/'W2'!$E$5*'W2'!$E$10*(IF('Subcontract 1'!$D56='W2'!$A$47,'W2'!G$47,IF('Subcontract 1'!$D56='W2'!$A$48,'W2'!G$48,IF('Subcontract 1'!$D56='W2'!$A$49,'W2'!G$49,IF('Subcontract 1'!$D56='W2'!$A$50,'W2'!G$50,IF('Subcontract 1'!$D56='W2'!$A$51,'W2'!G$51,IF('Subcontract 1'!$D56='W2'!$A$52,'W2'!G$52,IF('Subcontract 1'!$D56='W2'!$A$53,'W2'!G$53,IF('Subcontract 1'!$D56='W2'!$A$54,'W2'!G$54,IF('Subcontract 1'!$D56='W2'!$A$55,'W2'!G$55)))))))))),0))))))))</f>
        <v>0</v>
      </c>
      <c r="Q56" s="187">
        <f>IF(Q29=0,0,IF(AND($D56="F-SMRA",Q29=0),0,IF(AND($D56="F-SMRB",Q29=0),0,IF(AND($D56="F-SMRC",Q29=0),0,IF($D56='W2'!$A$68,'W2'!H322,IF($D56='W2'!$A$69,'W2'!H322,IF($D56='W2'!$A$70,'W2'!H322,ROUND(('Subcontract 1'!Q29/'W2'!$F$5*'W2'!$F$9*(IF('Subcontract 1'!$D56='W2'!$A$47,'W2'!H$47,IF('Subcontract 1'!$D56='W2'!$A$48,'W2'!H$48,IF('Subcontract 1'!$D56='W2'!$A$49,'W2'!H$49,IF('Subcontract 1'!$D56='W2'!$A$50,'W2'!H$50,IF('Subcontract 1'!$D56='W2'!$A$51,'W2'!H$51,IF('Subcontract 1'!$D56='W2'!$A$52,'W2'!H$52,IF('Subcontract 1'!$D56='W2'!$A$53,'W2'!H$53,IF('Subcontract 1'!$D56='W2'!$A$54,'W2'!H$54,IF('Subcontract 1'!$D56='W2'!$A$55,'W2'!H$55))))))))))),0)+ROUND(Q29/'W2'!$F$5*'W2'!$F$10*(IF('Subcontract 1'!$D56='W2'!$A$47,'W2'!I$47,IF('Subcontract 1'!$D56='W2'!$A$48,'W2'!I$48,IF('Subcontract 1'!$D56='W2'!$A$49,'W2'!I$49,IF('Subcontract 1'!$D56='W2'!$A$50,'W2'!I$50,IF('Subcontract 1'!$D56='W2'!$A$51,'W2'!I$51,IF('Subcontract 1'!$D56='W2'!$A$52,'W2'!I$52,IF('Subcontract 1'!$D56='W2'!$A$53,'W2'!I$53,IF('Subcontract 1'!$D56='W2'!$A$54,'W2'!I$54,IF('Subcontract 1'!$D56='W2'!$A$55,'W2'!I$55)))))))))),0))))))))</f>
        <v>0</v>
      </c>
      <c r="R56" s="187">
        <f>IF(R29=0,0,IF(AND($D56="F-SMRA",R29=0),0,IF(AND($D56="F-SMRB",R29=0),0,IF(AND($D56="F-SMRC",R29=0),0,IF($D56='W2'!$A$68,'W2'!J322,IF($D56='W2'!$A$69,'W2'!J322,IF($D56='W2'!$A$70,'W2'!J322,ROUND(('Subcontract 1'!R29/'W2'!$G$5*'W2'!$G$9*(IF('Subcontract 1'!$D56='W2'!$A$47,'W2'!J$47,IF('Subcontract 1'!$D56='W2'!$A$48,'W2'!J$48,IF('Subcontract 1'!$D56='W2'!$A$49,'W2'!J$49,IF('Subcontract 1'!$D56='W2'!$A$50,'W2'!J$50,IF('Subcontract 1'!$D56='W2'!$A$51,'W2'!J$51,IF('Subcontract 1'!$D56='W2'!$A$52,'W2'!J$52,IF('Subcontract 1'!$D56='W2'!$A$53,'W2'!J$53,IF('Subcontract 1'!$D56='W2'!$A$54,'W2'!J$54,IF('Subcontract 1'!$D56='W2'!$A$55,'W2'!J$55))))))))))),0)+ROUND(R29/'W2'!$G$5*'W2'!$G$10*(IF('Subcontract 1'!$D56='W2'!$A$47,'W2'!K$47,IF('Subcontract 1'!$D56='W2'!$A$48,'W2'!K$48,IF('Subcontract 1'!$D56='W2'!$A$49,'W2'!K$49,IF('Subcontract 1'!$D56='W2'!$A$50,'W2'!K$50,IF('Subcontract 1'!$D56='W2'!$A$51,'W2'!K$51,IF('Subcontract 1'!$D56='W2'!$A$52,'W2'!K$52,IF('Subcontract 1'!$D56='W2'!$A$53,'W2'!K$53,IF('Subcontract 1'!$D56='W2'!$A$54,'W2'!K$54,IF('Subcontract 1'!$D56='W2'!$A$55,'W2'!K$55)))))))))),0))))))))</f>
        <v>0</v>
      </c>
      <c r="S56" s="187">
        <f t="shared" si="6"/>
        <v>0</v>
      </c>
      <c r="T56" s="248"/>
      <c r="U56" s="248"/>
      <c r="V56" s="248"/>
      <c r="W56" s="248"/>
      <c r="X56" s="248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</row>
    <row r="57" spans="1:51" hidden="1" x14ac:dyDescent="0.2">
      <c r="A57" s="92">
        <v>23</v>
      </c>
      <c r="B57" s="381">
        <f t="shared" si="4"/>
        <v>0</v>
      </c>
      <c r="C57" s="382"/>
      <c r="D57" s="199" t="s">
        <v>52</v>
      </c>
      <c r="E57" s="265" t="str">
        <f>IF($D57='W2'!$A$59,'W2'!B$59,IF($D57='W2'!$A$60,'W2'!B$60,IF($D57='W2'!$A$61,'W2'!B$61,IF($D57='W2'!$A$62,'W2'!B$62,IF($D57='W2'!$A$63,'W2'!B$63,IF($D57='W2'!$A$64,'W2'!B$64,IF($D57='W2'!$A$65,'W2'!B$65,IF($D57='W2'!$A$66,'W2'!B$66,IF($D57='W2'!$A$67,'W2'!B$67,IF($D57='W2'!$A$68,'W2'!B297,IF($D57='W2'!$A$69,'W2'!B297,IF($D57='W2'!$A$70,'W2'!B297,IF($D57='W2'!$A$71,"")))))))))))))</f>
        <v/>
      </c>
      <c r="F57" s="378" t="str">
        <f>IF($D57='W2'!$A$59,'W2'!C$59,IF($D57='W2'!$A$60,'W2'!C$60,IF($D57='W2'!$A$61,'W2'!C$61,IF($D57='W2'!$A$62,'W2'!C$62,IF($D57='W2'!$A$63,'W2'!C$63,IF($D57='W2'!$A$64,'W2'!C$64,IF($D57='W2'!$A$65,'W2'!C$65,IF($D57='W2'!$A$66,'W2'!C$66,IF($D57='W2'!$A$67,'W2'!C$67,IF($D57='W2'!$A$68,'W2'!D297,IF($D57='W2'!$A$69,'W2'!D297,IF($D57='W2'!$A$70,'W2'!D297,IF($D57='W2'!$A$71,"")))))))))))))</f>
        <v/>
      </c>
      <c r="G57" s="379"/>
      <c r="H57" s="366" t="str">
        <f>IF($D57='W2'!$A$59,'W2'!D$59,IF($D57='W2'!$A$60,'W2'!D$60,IF($D57='W2'!$A$61,'W2'!D$61,IF($D57='W2'!$A$62,'W2'!D$62,IF($D57='W2'!$A$63,'W2'!D$63,IF($D57='W2'!$A$64,'W2'!D$64,IF($D57='W2'!$A$65,'W2'!D$65,IF($D57='W2'!$A$66,'W2'!D$66,IF($D57='W2'!$A$67,'W2'!D$67,IF($D57='W2'!$A$68,'W2'!F297,IF($D57='W2'!$A$69,'W2'!F297,IF($D57='W2'!$A$70,'W2'!F297,IF($D57='W2'!$A$71,"")))))))))))))</f>
        <v/>
      </c>
      <c r="I57" s="367"/>
      <c r="J57" s="366" t="str">
        <f>IF($D57='W2'!$A$59,'W2'!E$59,IF($D57='W2'!$A$60,'W2'!E$60,IF($D57='W2'!$A$61,'W2'!E$61,IF($D57='W2'!$A$62,'W2'!E$62,IF($D57='W2'!$A$63,'W2'!E$63,IF($D57='W2'!$A$64,'W2'!E$64,IF($D57='W2'!$A$65,'W2'!E$65,IF($D57='W2'!$A$66,'W2'!E$66,IF($D57='W2'!$A$67,'W2'!E$67,IF($D57='W2'!$A$68,'W2'!H297,IF($D57='W2'!$A$69,'W2'!H297,IF($D57='W2'!$A$70,'W2'!H297,IF($D57='W2'!$A$71,"")))))))))))))</f>
        <v/>
      </c>
      <c r="K57" s="367"/>
      <c r="L57" s="366" t="str">
        <f>IF($D57='W2'!$A$59,'W2'!F$59,IF($D57='W2'!$A$60,'W2'!F$60,IF($D57='W2'!$A$61,'W2'!F$61,IF($D57='W2'!$A$62,'W2'!F$62,IF($D57='W2'!$A$63,'W2'!F$63,IF($D57='W2'!$A$64,'W2'!F$64,IF($D57='W2'!$A$65,'W2'!F$65,IF($D57='W2'!$A$66,'W2'!F$66,IF($D57='W2'!$A$67,'W2'!F$67,IF($D57='W2'!$A$68,'W2'!J297,IF($D57='W2'!$A$69,'W2'!J297,IF($D57='W2'!$A$70,'W2'!J297,IF($D57='W2'!$A$71,"")))))))))))))</f>
        <v/>
      </c>
      <c r="M57" s="367"/>
      <c r="N57" s="187">
        <f>IF(N30=0,0,IF(AND($D57="F-SMRA",N30=0),0,IF(AND($D57="F-SMRB",N30=0),0,IF(AND($D57="F-SMRC",N30=0),0,IF($D57='W2'!$A$68,'W2'!B323,IF($D57='W2'!$A$69,'W2'!B323,IF($D57='W2'!$A$70,'W2'!B323,ROUND(('Subcontract 1'!N30/'W2'!$C$5*'W2'!$C$9*(IF('Subcontract 1'!$D57='W2'!$A$47,'W2'!B$47,IF('Subcontract 1'!$D57='W2'!$A$48,'W2'!B$48,IF('Subcontract 1'!$D57='W2'!$A$49,'W2'!B$49,IF('Subcontract 1'!$D57='W2'!$A$50,'W2'!B$50,IF('Subcontract 1'!$D57='W2'!$A$51,'W2'!B$51,IF('Subcontract 1'!$D57='W2'!$A$52,'W2'!B$52,IF('Subcontract 1'!$D57='W2'!$A$53,'W2'!B$53,IF('Subcontract 1'!$D57='W2'!$A$54,'W2'!B$54,IF('Subcontract 1'!$D57='W2'!$A$55,'W2'!B$55))))))))))),0)+ROUND(N30/'W2'!$C$5*'W2'!$C$10*(IF('Subcontract 1'!$D57='W2'!$A$47,'W2'!C$47,IF('Subcontract 1'!$D57='W2'!$A$48,'W2'!C$48,IF('Subcontract 1'!$D57='W2'!$A$49,'W2'!C$49,IF('Subcontract 1'!$D57='W2'!$A$50,'W2'!C$50,IF('Subcontract 1'!$D57='W2'!$A$51,'W2'!C$51,IF('Subcontract 1'!$D57='W2'!$A$52,'W2'!C$52,IF('Subcontract 1'!$D57='W2'!$A$53,'W2'!C$53,IF('Subcontract 1'!$D57='W2'!$A$54,'W2'!C$54,IF('Subcontract 1'!$D57='W2'!$A$55,'W2'!C$55)))))))))),0))))))))</f>
        <v>0</v>
      </c>
      <c r="O57" s="187">
        <f>IF(O30=0,0,IF(AND($D57="F-SMRA",O30=0),0,IF(AND($D57="F-SMRB",O30=0),0,IF(AND($D57="F-SMRC",O30=0),0,IF($D57='W2'!$A$68,'W2'!D323,IF($D57='W2'!$A$69,'W2'!D323,IF($D57='W2'!$A$70,'W2'!D323,ROUND(('Subcontract 1'!O30/'W2'!$D$5*'W2'!$D$9*(IF('Subcontract 1'!$D57='W2'!$A$47,'W2'!D$47,IF('Subcontract 1'!$D57='W2'!$A$48,'W2'!D$48,IF('Subcontract 1'!$D57='W2'!$A$49,'W2'!D$49,IF('Subcontract 1'!$D57='W2'!$A$50,'W2'!D$50,IF('Subcontract 1'!$D57='W2'!$A$51,'W2'!D$51,IF('Subcontract 1'!$D57='W2'!$A$52,'W2'!D$52,IF('Subcontract 1'!$D57='W2'!$A$53,'W2'!D$53,IF('Subcontract 1'!$D57='W2'!$A$54,'W2'!D$54,IF('Subcontract 1'!$D57='W2'!$A$55,'W2'!D$55))))))))))),0)+ROUND(O30/'W2'!$D$5*'W2'!$D$10*(IF('Subcontract 1'!$D57='W2'!$A$47,'W2'!E$47,IF('Subcontract 1'!$D57='W2'!$A$48,'W2'!E$48,IF('Subcontract 1'!$D57='W2'!$A$49,'W2'!E$49,IF('Subcontract 1'!$D57='W2'!$A$50,'W2'!E$50,IF('Subcontract 1'!$D57='W2'!$A$51,'W2'!E$51,IF('Subcontract 1'!$D57='W2'!$A$52,'W2'!E$52,IF('Subcontract 1'!$D57='W2'!$A$53,'W2'!E$53,IF('Subcontract 1'!$D57='W2'!$A$54,'W2'!E$54,IF('Subcontract 1'!$D57='W2'!$A$55,'W2'!E$55)))))))))),0))))))))</f>
        <v>0</v>
      </c>
      <c r="P57" s="187">
        <f>IF(P30=0,0,IF(AND($D57="F-SMRA",P30=0),0,IF(AND($D57="F-SMRB",P30=0),0,IF(AND($D57="F-SMRC",P30=0),0,IF($D57='W2'!$A$68,'W2'!F323,IF($D57='W2'!$A$69,'W2'!F323,IF($D57='W2'!$A$70,'W2'!F323,ROUND(('Subcontract 1'!P30/'W2'!$E$5*'W2'!$E$9*(IF('Subcontract 1'!$D57='W2'!$A$47,'W2'!F$47,IF('Subcontract 1'!$D57='W2'!$A$48,'W2'!F$48,IF('Subcontract 1'!$D57='W2'!$A$49,'W2'!F$49,IF('Subcontract 1'!$D57='W2'!$A$50,'W2'!F$50,IF('Subcontract 1'!$D57='W2'!$A$51,'W2'!F$51,IF('Subcontract 1'!$D57='W2'!$A$52,'W2'!F$52,IF('Subcontract 1'!$D57='W2'!$A$53,'W2'!F$53,IF('Subcontract 1'!$D57='W2'!$A$54,'W2'!F$54,IF('Subcontract 1'!$D57='W2'!$A$55,'W2'!F$55))))))))))),0)+ROUND(P30/'W2'!$E$5*'W2'!$E$10*(IF('Subcontract 1'!$D57='W2'!$A$47,'W2'!G$47,IF('Subcontract 1'!$D57='W2'!$A$48,'W2'!G$48,IF('Subcontract 1'!$D57='W2'!$A$49,'W2'!G$49,IF('Subcontract 1'!$D57='W2'!$A$50,'W2'!G$50,IF('Subcontract 1'!$D57='W2'!$A$51,'W2'!G$51,IF('Subcontract 1'!$D57='W2'!$A$52,'W2'!G$52,IF('Subcontract 1'!$D57='W2'!$A$53,'W2'!G$53,IF('Subcontract 1'!$D57='W2'!$A$54,'W2'!G$54,IF('Subcontract 1'!$D57='W2'!$A$55,'W2'!G$55)))))))))),0))))))))</f>
        <v>0</v>
      </c>
      <c r="Q57" s="187">
        <f>IF(Q30=0,0,IF(AND($D57="F-SMRA",Q30=0),0,IF(AND($D57="F-SMRB",Q30=0),0,IF(AND($D57="F-SMRC",Q30=0),0,IF($D57='W2'!$A$68,'W2'!H323,IF($D57='W2'!$A$69,'W2'!H323,IF($D57='W2'!$A$70,'W2'!H323,ROUND(('Subcontract 1'!Q30/'W2'!$F$5*'W2'!$F$9*(IF('Subcontract 1'!$D57='W2'!$A$47,'W2'!H$47,IF('Subcontract 1'!$D57='W2'!$A$48,'W2'!H$48,IF('Subcontract 1'!$D57='W2'!$A$49,'W2'!H$49,IF('Subcontract 1'!$D57='W2'!$A$50,'W2'!H$50,IF('Subcontract 1'!$D57='W2'!$A$51,'W2'!H$51,IF('Subcontract 1'!$D57='W2'!$A$52,'W2'!H$52,IF('Subcontract 1'!$D57='W2'!$A$53,'W2'!H$53,IF('Subcontract 1'!$D57='W2'!$A$54,'W2'!H$54,IF('Subcontract 1'!$D57='W2'!$A$55,'W2'!H$55))))))))))),0)+ROUND(Q30/'W2'!$F$5*'W2'!$F$10*(IF('Subcontract 1'!$D57='W2'!$A$47,'W2'!I$47,IF('Subcontract 1'!$D57='W2'!$A$48,'W2'!I$48,IF('Subcontract 1'!$D57='W2'!$A$49,'W2'!I$49,IF('Subcontract 1'!$D57='W2'!$A$50,'W2'!I$50,IF('Subcontract 1'!$D57='W2'!$A$51,'W2'!I$51,IF('Subcontract 1'!$D57='W2'!$A$52,'W2'!I$52,IF('Subcontract 1'!$D57='W2'!$A$53,'W2'!I$53,IF('Subcontract 1'!$D57='W2'!$A$54,'W2'!I$54,IF('Subcontract 1'!$D57='W2'!$A$55,'W2'!I$55)))))))))),0))))))))</f>
        <v>0</v>
      </c>
      <c r="R57" s="187">
        <f>IF(R30=0,0,IF(AND($D57="F-SMRA",R30=0),0,IF(AND($D57="F-SMRB",R30=0),0,IF(AND($D57="F-SMRC",R30=0),0,IF($D57='W2'!$A$68,'W2'!J323,IF($D57='W2'!$A$69,'W2'!J323,IF($D57='W2'!$A$70,'W2'!J323,ROUND(('Subcontract 1'!R30/'W2'!$G$5*'W2'!$G$9*(IF('Subcontract 1'!$D57='W2'!$A$47,'W2'!J$47,IF('Subcontract 1'!$D57='W2'!$A$48,'W2'!J$48,IF('Subcontract 1'!$D57='W2'!$A$49,'W2'!J$49,IF('Subcontract 1'!$D57='W2'!$A$50,'W2'!J$50,IF('Subcontract 1'!$D57='W2'!$A$51,'W2'!J$51,IF('Subcontract 1'!$D57='W2'!$A$52,'W2'!J$52,IF('Subcontract 1'!$D57='W2'!$A$53,'W2'!J$53,IF('Subcontract 1'!$D57='W2'!$A$54,'W2'!J$54,IF('Subcontract 1'!$D57='W2'!$A$55,'W2'!J$55))))))))))),0)+ROUND(R30/'W2'!$G$5*'W2'!$G$10*(IF('Subcontract 1'!$D57='W2'!$A$47,'W2'!K$47,IF('Subcontract 1'!$D57='W2'!$A$48,'W2'!K$48,IF('Subcontract 1'!$D57='W2'!$A$49,'W2'!K$49,IF('Subcontract 1'!$D57='W2'!$A$50,'W2'!K$50,IF('Subcontract 1'!$D57='W2'!$A$51,'W2'!K$51,IF('Subcontract 1'!$D57='W2'!$A$52,'W2'!K$52,IF('Subcontract 1'!$D57='W2'!$A$53,'W2'!K$53,IF('Subcontract 1'!$D57='W2'!$A$54,'W2'!K$54,IF('Subcontract 1'!$D57='W2'!$A$55,'W2'!K$55)))))))))),0))))))))</f>
        <v>0</v>
      </c>
      <c r="S57" s="187">
        <f t="shared" si="6"/>
        <v>0</v>
      </c>
      <c r="T57" s="248"/>
      <c r="U57" s="248"/>
      <c r="V57" s="248"/>
      <c r="W57" s="248"/>
      <c r="X57" s="248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</row>
    <row r="58" spans="1:51" hidden="1" x14ac:dyDescent="0.2">
      <c r="A58" s="92">
        <v>24</v>
      </c>
      <c r="B58" s="381">
        <f t="shared" si="4"/>
        <v>0</v>
      </c>
      <c r="C58" s="382"/>
      <c r="D58" s="199" t="s">
        <v>52</v>
      </c>
      <c r="E58" s="265" t="str">
        <f>IF($D58='W2'!$A$59,'W2'!B$59,IF($D58='W2'!$A$60,'W2'!B$60,IF($D58='W2'!$A$61,'W2'!B$61,IF($D58='W2'!$A$62,'W2'!B$62,IF($D58='W2'!$A$63,'W2'!B$63,IF($D58='W2'!$A$64,'W2'!B$64,IF($D58='W2'!$A$65,'W2'!B$65,IF($D58='W2'!$A$66,'W2'!B$66,IF($D58='W2'!$A$67,'W2'!B$67,IF($D58='W2'!$A$68,'W2'!B298,IF($D58='W2'!$A$69,'W2'!B298,IF($D58='W2'!$A$70,'W2'!B298,IF($D58='W2'!$A$71,"")))))))))))))</f>
        <v/>
      </c>
      <c r="F58" s="378" t="str">
        <f>IF($D58='W2'!$A$59,'W2'!C$59,IF($D58='W2'!$A$60,'W2'!C$60,IF($D58='W2'!$A$61,'W2'!C$61,IF($D58='W2'!$A$62,'W2'!C$62,IF($D58='W2'!$A$63,'W2'!C$63,IF($D58='W2'!$A$64,'W2'!C$64,IF($D58='W2'!$A$65,'W2'!C$65,IF($D58='W2'!$A$66,'W2'!C$66,IF($D58='W2'!$A$67,'W2'!C$67,IF($D58='W2'!$A$68,'W2'!D298,IF($D58='W2'!$A$69,'W2'!D298,IF($D58='W2'!$A$70,'W2'!D298,IF($D58='W2'!$A$71,"")))))))))))))</f>
        <v/>
      </c>
      <c r="G58" s="379"/>
      <c r="H58" s="366" t="str">
        <f>IF($D58='W2'!$A$59,'W2'!D$59,IF($D58='W2'!$A$60,'W2'!D$60,IF($D58='W2'!$A$61,'W2'!D$61,IF($D58='W2'!$A$62,'W2'!D$62,IF($D58='W2'!$A$63,'W2'!D$63,IF($D58='W2'!$A$64,'W2'!D$64,IF($D58='W2'!$A$65,'W2'!D$65,IF($D58='W2'!$A$66,'W2'!D$66,IF($D58='W2'!$A$67,'W2'!D$67,IF($D58='W2'!$A$68,'W2'!F298,IF($D58='W2'!$A$69,'W2'!F298,IF($D58='W2'!$A$70,'W2'!F298,IF($D58='W2'!$A$71,"")))))))))))))</f>
        <v/>
      </c>
      <c r="I58" s="367"/>
      <c r="J58" s="366" t="str">
        <f>IF($D58='W2'!$A$59,'W2'!E$59,IF($D58='W2'!$A$60,'W2'!E$60,IF($D58='W2'!$A$61,'W2'!E$61,IF($D58='W2'!$A$62,'W2'!E$62,IF($D58='W2'!$A$63,'W2'!E$63,IF($D58='W2'!$A$64,'W2'!E$64,IF($D58='W2'!$A$65,'W2'!E$65,IF($D58='W2'!$A$66,'W2'!E$66,IF($D58='W2'!$A$67,'W2'!E$67,IF($D58='W2'!$A$68,'W2'!H298,IF($D58='W2'!$A$69,'W2'!H298,IF($D58='W2'!$A$70,'W2'!H298,IF($D58='W2'!$A$71,"")))))))))))))</f>
        <v/>
      </c>
      <c r="K58" s="367"/>
      <c r="L58" s="366" t="str">
        <f>IF($D58='W2'!$A$59,'W2'!F$59,IF($D58='W2'!$A$60,'W2'!F$60,IF($D58='W2'!$A$61,'W2'!F$61,IF($D58='W2'!$A$62,'W2'!F$62,IF($D58='W2'!$A$63,'W2'!F$63,IF($D58='W2'!$A$64,'W2'!F$64,IF($D58='W2'!$A$65,'W2'!F$65,IF($D58='W2'!$A$66,'W2'!F$66,IF($D58='W2'!$A$67,'W2'!F$67,IF($D58='W2'!$A$68,'W2'!J298,IF($D58='W2'!$A$69,'W2'!J298,IF($D58='W2'!$A$70,'W2'!J298,IF($D58='W2'!$A$71,"")))))))))))))</f>
        <v/>
      </c>
      <c r="M58" s="367"/>
      <c r="N58" s="187">
        <f>IF(N31=0,0,IF(AND($D58="F-SMRA",N31=0),0,IF(AND($D58="F-SMRB",N31=0),0,IF(AND($D58="F-SMRC",N31=0),0,IF($D58='W2'!$A$68,'W2'!B324,IF($D58='W2'!$A$69,'W2'!B324,IF($D58='W2'!$A$70,'W2'!B324,ROUND(('Subcontract 1'!N31/'W2'!$C$5*'W2'!$C$9*(IF('Subcontract 1'!$D58='W2'!$A$47,'W2'!B$47,IF('Subcontract 1'!$D58='W2'!$A$48,'W2'!B$48,IF('Subcontract 1'!$D58='W2'!$A$49,'W2'!B$49,IF('Subcontract 1'!$D58='W2'!$A$50,'W2'!B$50,IF('Subcontract 1'!$D58='W2'!$A$51,'W2'!B$51,IF('Subcontract 1'!$D58='W2'!$A$52,'W2'!B$52,IF('Subcontract 1'!$D58='W2'!$A$53,'W2'!B$53,IF('Subcontract 1'!$D58='W2'!$A$54,'W2'!B$54,IF('Subcontract 1'!$D58='W2'!$A$55,'W2'!B$55))))))))))),0)+ROUND(N31/'W2'!$C$5*'W2'!$C$10*(IF('Subcontract 1'!$D58='W2'!$A$47,'W2'!C$47,IF('Subcontract 1'!$D58='W2'!$A$48,'W2'!C$48,IF('Subcontract 1'!$D58='W2'!$A$49,'W2'!C$49,IF('Subcontract 1'!$D58='W2'!$A$50,'W2'!C$50,IF('Subcontract 1'!$D58='W2'!$A$51,'W2'!C$51,IF('Subcontract 1'!$D58='W2'!$A$52,'W2'!C$52,IF('Subcontract 1'!$D58='W2'!$A$53,'W2'!C$53,IF('Subcontract 1'!$D58='W2'!$A$54,'W2'!C$54,IF('Subcontract 1'!$D58='W2'!$A$55,'W2'!C$55)))))))))),0))))))))</f>
        <v>0</v>
      </c>
      <c r="O58" s="187">
        <f>IF(O31=0,0,IF(AND($D58="F-SMRA",O31=0),0,IF(AND($D58="F-SMRB",O31=0),0,IF(AND($D58="F-SMRC",O31=0),0,IF($D58='W2'!$A$68,'W2'!D324,IF($D58='W2'!$A$69,'W2'!D324,IF($D58='W2'!$A$70,'W2'!D324,ROUND(('Subcontract 1'!O31/'W2'!$D$5*'W2'!$D$9*(IF('Subcontract 1'!$D58='W2'!$A$47,'W2'!D$47,IF('Subcontract 1'!$D58='W2'!$A$48,'W2'!D$48,IF('Subcontract 1'!$D58='W2'!$A$49,'W2'!D$49,IF('Subcontract 1'!$D58='W2'!$A$50,'W2'!D$50,IF('Subcontract 1'!$D58='W2'!$A$51,'W2'!D$51,IF('Subcontract 1'!$D58='W2'!$A$52,'W2'!D$52,IF('Subcontract 1'!$D58='W2'!$A$53,'W2'!D$53,IF('Subcontract 1'!$D58='W2'!$A$54,'W2'!D$54,IF('Subcontract 1'!$D58='W2'!$A$55,'W2'!D$55))))))))))),0)+ROUND(O31/'W2'!$D$5*'W2'!$D$10*(IF('Subcontract 1'!$D58='W2'!$A$47,'W2'!E$47,IF('Subcontract 1'!$D58='W2'!$A$48,'W2'!E$48,IF('Subcontract 1'!$D58='W2'!$A$49,'W2'!E$49,IF('Subcontract 1'!$D58='W2'!$A$50,'W2'!E$50,IF('Subcontract 1'!$D58='W2'!$A$51,'W2'!E$51,IF('Subcontract 1'!$D58='W2'!$A$52,'W2'!E$52,IF('Subcontract 1'!$D58='W2'!$A$53,'W2'!E$53,IF('Subcontract 1'!$D58='W2'!$A$54,'W2'!E$54,IF('Subcontract 1'!$D58='W2'!$A$55,'W2'!E$55)))))))))),0))))))))</f>
        <v>0</v>
      </c>
      <c r="P58" s="187">
        <f>IF(P31=0,0,IF(AND($D58="F-SMRA",P31=0),0,IF(AND($D58="F-SMRB",P31=0),0,IF(AND($D58="F-SMRC",P31=0),0,IF($D58='W2'!$A$68,'W2'!F324,IF($D58='W2'!$A$69,'W2'!F324,IF($D58='W2'!$A$70,'W2'!F324,ROUND(('Subcontract 1'!P31/'W2'!$E$5*'W2'!$E$9*(IF('Subcontract 1'!$D58='W2'!$A$47,'W2'!F$47,IF('Subcontract 1'!$D58='W2'!$A$48,'W2'!F$48,IF('Subcontract 1'!$D58='W2'!$A$49,'W2'!F$49,IF('Subcontract 1'!$D58='W2'!$A$50,'W2'!F$50,IF('Subcontract 1'!$D58='W2'!$A$51,'W2'!F$51,IF('Subcontract 1'!$D58='W2'!$A$52,'W2'!F$52,IF('Subcontract 1'!$D58='W2'!$A$53,'W2'!F$53,IF('Subcontract 1'!$D58='W2'!$A$54,'W2'!F$54,IF('Subcontract 1'!$D58='W2'!$A$55,'W2'!F$55))))))))))),0)+ROUND(P31/'W2'!$E$5*'W2'!$E$10*(IF('Subcontract 1'!$D58='W2'!$A$47,'W2'!G$47,IF('Subcontract 1'!$D58='W2'!$A$48,'W2'!G$48,IF('Subcontract 1'!$D58='W2'!$A$49,'W2'!G$49,IF('Subcontract 1'!$D58='W2'!$A$50,'W2'!G$50,IF('Subcontract 1'!$D58='W2'!$A$51,'W2'!G$51,IF('Subcontract 1'!$D58='W2'!$A$52,'W2'!G$52,IF('Subcontract 1'!$D58='W2'!$A$53,'W2'!G$53,IF('Subcontract 1'!$D58='W2'!$A$54,'W2'!G$54,IF('Subcontract 1'!$D58='W2'!$A$55,'W2'!G$55)))))))))),0))))))))</f>
        <v>0</v>
      </c>
      <c r="Q58" s="187">
        <f>IF(Q31=0,0,IF(AND($D58="F-SMRA",Q31=0),0,IF(AND($D58="F-SMRB",Q31=0),0,IF(AND($D58="F-SMRC",Q31=0),0,IF($D58='W2'!$A$68,'W2'!H324,IF($D58='W2'!$A$69,'W2'!H324,IF($D58='W2'!$A$70,'W2'!H324,ROUND(('Subcontract 1'!Q31/'W2'!$F$5*'W2'!$F$9*(IF('Subcontract 1'!$D58='W2'!$A$47,'W2'!H$47,IF('Subcontract 1'!$D58='W2'!$A$48,'W2'!H$48,IF('Subcontract 1'!$D58='W2'!$A$49,'W2'!H$49,IF('Subcontract 1'!$D58='W2'!$A$50,'W2'!H$50,IF('Subcontract 1'!$D58='W2'!$A$51,'W2'!H$51,IF('Subcontract 1'!$D58='W2'!$A$52,'W2'!H$52,IF('Subcontract 1'!$D58='W2'!$A$53,'W2'!H$53,IF('Subcontract 1'!$D58='W2'!$A$54,'W2'!H$54,IF('Subcontract 1'!$D58='W2'!$A$55,'W2'!H$55))))))))))),0)+ROUND(Q31/'W2'!$F$5*'W2'!$F$10*(IF('Subcontract 1'!$D58='W2'!$A$47,'W2'!I$47,IF('Subcontract 1'!$D58='W2'!$A$48,'W2'!I$48,IF('Subcontract 1'!$D58='W2'!$A$49,'W2'!I$49,IF('Subcontract 1'!$D58='W2'!$A$50,'W2'!I$50,IF('Subcontract 1'!$D58='W2'!$A$51,'W2'!I$51,IF('Subcontract 1'!$D58='W2'!$A$52,'W2'!I$52,IF('Subcontract 1'!$D58='W2'!$A$53,'W2'!I$53,IF('Subcontract 1'!$D58='W2'!$A$54,'W2'!I$54,IF('Subcontract 1'!$D58='W2'!$A$55,'W2'!I$55)))))))))),0))))))))</f>
        <v>0</v>
      </c>
      <c r="R58" s="187">
        <f>IF(R31=0,0,IF(AND($D58="F-SMRA",R31=0),0,IF(AND($D58="F-SMRB",R31=0),0,IF(AND($D58="F-SMRC",R31=0),0,IF($D58='W2'!$A$68,'W2'!J324,IF($D58='W2'!$A$69,'W2'!J324,IF($D58='W2'!$A$70,'W2'!J324,ROUND(('Subcontract 1'!R31/'W2'!$G$5*'W2'!$G$9*(IF('Subcontract 1'!$D58='W2'!$A$47,'W2'!J$47,IF('Subcontract 1'!$D58='W2'!$A$48,'W2'!J$48,IF('Subcontract 1'!$D58='W2'!$A$49,'W2'!J$49,IF('Subcontract 1'!$D58='W2'!$A$50,'W2'!J$50,IF('Subcontract 1'!$D58='W2'!$A$51,'W2'!J$51,IF('Subcontract 1'!$D58='W2'!$A$52,'W2'!J$52,IF('Subcontract 1'!$D58='W2'!$A$53,'W2'!J$53,IF('Subcontract 1'!$D58='W2'!$A$54,'W2'!J$54,IF('Subcontract 1'!$D58='W2'!$A$55,'W2'!J$55))))))))))),0)+ROUND(R31/'W2'!$G$5*'W2'!$G$10*(IF('Subcontract 1'!$D58='W2'!$A$47,'W2'!K$47,IF('Subcontract 1'!$D58='W2'!$A$48,'W2'!K$48,IF('Subcontract 1'!$D58='W2'!$A$49,'W2'!K$49,IF('Subcontract 1'!$D58='W2'!$A$50,'W2'!K$50,IF('Subcontract 1'!$D58='W2'!$A$51,'W2'!K$51,IF('Subcontract 1'!$D58='W2'!$A$52,'W2'!K$52,IF('Subcontract 1'!$D58='W2'!$A$53,'W2'!K$53,IF('Subcontract 1'!$D58='W2'!$A$54,'W2'!K$54,IF('Subcontract 1'!$D58='W2'!$A$55,'W2'!K$55)))))))))),0))))))))</f>
        <v>0</v>
      </c>
      <c r="S58" s="187">
        <f t="shared" si="6"/>
        <v>0</v>
      </c>
      <c r="T58" s="248"/>
      <c r="U58" s="248"/>
      <c r="V58" s="248"/>
      <c r="W58" s="248"/>
      <c r="X58" s="248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</row>
    <row r="59" spans="1:51" x14ac:dyDescent="0.2">
      <c r="A59" s="360" t="s">
        <v>7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2"/>
      <c r="N59" s="201">
        <f>ROUND(SUM(N35:N58),0)</f>
        <v>0</v>
      </c>
      <c r="O59" s="201">
        <f t="shared" ref="O59:S59" si="7">SUM(O35:O58)</f>
        <v>0</v>
      </c>
      <c r="P59" s="201">
        <f t="shared" si="7"/>
        <v>0</v>
      </c>
      <c r="Q59" s="201">
        <f t="shared" si="7"/>
        <v>0</v>
      </c>
      <c r="R59" s="201">
        <f t="shared" si="7"/>
        <v>0</v>
      </c>
      <c r="S59" s="201">
        <f t="shared" si="7"/>
        <v>0</v>
      </c>
      <c r="T59" s="249"/>
      <c r="U59" s="249"/>
      <c r="V59" s="249"/>
      <c r="W59" s="249"/>
      <c r="X59" s="249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spans="1:51" x14ac:dyDescent="0.2">
      <c r="A60" s="363" t="s">
        <v>21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5"/>
      <c r="N60" s="202">
        <f t="shared" ref="N60:S60" si="8">N32+N59</f>
        <v>0</v>
      </c>
      <c r="O60" s="202">
        <f t="shared" si="8"/>
        <v>0</v>
      </c>
      <c r="P60" s="202">
        <f t="shared" si="8"/>
        <v>0</v>
      </c>
      <c r="Q60" s="202">
        <f t="shared" si="8"/>
        <v>0</v>
      </c>
      <c r="R60" s="202">
        <f t="shared" si="8"/>
        <v>0</v>
      </c>
      <c r="S60" s="202">
        <f t="shared" si="8"/>
        <v>0</v>
      </c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</row>
    <row r="61" spans="1:51" x14ac:dyDescent="0.2"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</row>
    <row r="62" spans="1:51" ht="15" x14ac:dyDescent="0.25">
      <c r="A62" s="346" t="s">
        <v>242</v>
      </c>
      <c r="B62" s="347"/>
      <c r="C62" s="347"/>
      <c r="D62" s="422"/>
      <c r="E62" s="422"/>
      <c r="F62" s="422"/>
      <c r="G62" s="422"/>
      <c r="H62" s="422"/>
      <c r="I62" s="422"/>
      <c r="J62" s="55"/>
      <c r="K62" s="402"/>
      <c r="L62" s="402"/>
      <c r="M62" s="403"/>
      <c r="N62" s="106"/>
      <c r="O62" s="106"/>
      <c r="P62" s="106"/>
      <c r="Q62" s="106"/>
      <c r="R62" s="106"/>
      <c r="S62" s="106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x14ac:dyDescent="0.2">
      <c r="A63" s="231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190"/>
      <c r="N63" s="204"/>
      <c r="O63" s="204"/>
      <c r="P63" s="204"/>
      <c r="Q63" s="204"/>
      <c r="R63" s="204"/>
      <c r="S63" s="86">
        <f>SUM(N63:R63)</f>
        <v>0</v>
      </c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x14ac:dyDescent="0.2">
      <c r="A64" s="231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190"/>
      <c r="N64" s="204"/>
      <c r="O64" s="204"/>
      <c r="P64" s="204"/>
      <c r="Q64" s="204"/>
      <c r="R64" s="204"/>
      <c r="S64" s="86">
        <f t="shared" ref="S64:S70" si="9">SUM(N64:R64)</f>
        <v>0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x14ac:dyDescent="0.2">
      <c r="A65" s="231" t="s">
        <v>189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190"/>
      <c r="N65" s="204"/>
      <c r="O65" s="204"/>
      <c r="P65" s="204"/>
      <c r="Q65" s="204"/>
      <c r="R65" s="204"/>
      <c r="S65" s="86">
        <f t="shared" si="9"/>
        <v>0</v>
      </c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x14ac:dyDescent="0.2">
      <c r="A66" s="231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190"/>
      <c r="N66" s="204"/>
      <c r="O66" s="204"/>
      <c r="P66" s="204"/>
      <c r="Q66" s="204"/>
      <c r="R66" s="204"/>
      <c r="S66" s="86">
        <f t="shared" si="9"/>
        <v>0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idden="1" x14ac:dyDescent="0.2">
      <c r="A67" s="231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190" t="s">
        <v>192</v>
      </c>
      <c r="N67" s="204"/>
      <c r="O67" s="204"/>
      <c r="P67" s="204"/>
      <c r="Q67" s="204"/>
      <c r="R67" s="204"/>
      <c r="S67" s="86">
        <f t="shared" si="9"/>
        <v>0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idden="1" x14ac:dyDescent="0.2">
      <c r="A68" s="231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190" t="s">
        <v>192</v>
      </c>
      <c r="N68" s="204"/>
      <c r="O68" s="204"/>
      <c r="P68" s="204"/>
      <c r="Q68" s="204"/>
      <c r="R68" s="204"/>
      <c r="S68" s="86">
        <f t="shared" si="9"/>
        <v>0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idden="1" x14ac:dyDescent="0.2">
      <c r="A69" s="231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190" t="s">
        <v>192</v>
      </c>
      <c r="N69" s="204"/>
      <c r="O69" s="204"/>
      <c r="P69" s="204"/>
      <c r="Q69" s="204"/>
      <c r="R69" s="204"/>
      <c r="S69" s="86">
        <f t="shared" si="9"/>
        <v>0</v>
      </c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idden="1" x14ac:dyDescent="0.2">
      <c r="A70" s="231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190" t="s">
        <v>192</v>
      </c>
      <c r="N70" s="204"/>
      <c r="O70" s="204"/>
      <c r="P70" s="204"/>
      <c r="Q70" s="204"/>
      <c r="R70" s="204"/>
      <c r="S70" s="86">
        <f t="shared" si="9"/>
        <v>0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x14ac:dyDescent="0.2">
      <c r="A71" s="346" t="s">
        <v>66</v>
      </c>
      <c r="B71" s="347"/>
      <c r="C71" s="347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89">
        <f>SUM(N63:N66)</f>
        <v>0</v>
      </c>
      <c r="O71" s="89">
        <f>SUM(O63:O66)</f>
        <v>0</v>
      </c>
      <c r="P71" s="89">
        <f>SUM(P63:P70)</f>
        <v>0</v>
      </c>
      <c r="Q71" s="89">
        <f>SUM(Q63:Q70)</f>
        <v>0</v>
      </c>
      <c r="R71" s="89">
        <f>SUM(R63:R70)</f>
        <v>0</v>
      </c>
      <c r="S71" s="89">
        <f>SUM(S63:S70)</f>
        <v>0</v>
      </c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x14ac:dyDescent="0.2"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x14ac:dyDescent="0.2">
      <c r="A73" s="346" t="s">
        <v>67</v>
      </c>
      <c r="B73" s="347"/>
      <c r="C73" s="3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06"/>
      <c r="O73" s="106"/>
      <c r="P73" s="106"/>
      <c r="Q73" s="106"/>
      <c r="R73" s="106"/>
      <c r="S73" s="106">
        <f>S62</f>
        <v>0</v>
      </c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x14ac:dyDescent="0.2">
      <c r="A74" s="231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5"/>
      <c r="O74" s="205"/>
      <c r="P74" s="205"/>
      <c r="Q74" s="205"/>
      <c r="R74" s="205"/>
      <c r="S74" s="86">
        <f>SUM(N74:R74)</f>
        <v>0</v>
      </c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x14ac:dyDescent="0.2">
      <c r="A75" s="231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5"/>
      <c r="O75" s="205"/>
      <c r="P75" s="205"/>
      <c r="Q75" s="205"/>
      <c r="R75" s="205"/>
      <c r="S75" s="86">
        <f t="shared" ref="S75:S107" si="10">SUM(N75:R75)</f>
        <v>0</v>
      </c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x14ac:dyDescent="0.2">
      <c r="A76" s="231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5"/>
      <c r="O76" s="205"/>
      <c r="P76" s="205"/>
      <c r="Q76" s="205"/>
      <c r="R76" s="205"/>
      <c r="S76" s="86">
        <f t="shared" si="10"/>
        <v>0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x14ac:dyDescent="0.2">
      <c r="A77" s="231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5"/>
      <c r="O77" s="205"/>
      <c r="P77" s="205"/>
      <c r="Q77" s="205"/>
      <c r="R77" s="205"/>
      <c r="S77" s="86">
        <f t="shared" si="10"/>
        <v>0</v>
      </c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x14ac:dyDescent="0.2">
      <c r="A78" s="231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5"/>
      <c r="O78" s="205"/>
      <c r="P78" s="205"/>
      <c r="Q78" s="205"/>
      <c r="R78" s="205"/>
      <c r="S78" s="86">
        <f t="shared" si="10"/>
        <v>0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x14ac:dyDescent="0.2">
      <c r="A79" s="231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5"/>
      <c r="O79" s="205"/>
      <c r="P79" s="205"/>
      <c r="Q79" s="205"/>
      <c r="R79" s="205"/>
      <c r="S79" s="86">
        <f t="shared" si="10"/>
        <v>0</v>
      </c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x14ac:dyDescent="0.2">
      <c r="A80" s="231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5"/>
      <c r="O80" s="205"/>
      <c r="P80" s="205"/>
      <c r="Q80" s="205"/>
      <c r="R80" s="205"/>
      <c r="S80" s="86">
        <f t="shared" si="10"/>
        <v>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x14ac:dyDescent="0.2">
      <c r="A81" s="231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5"/>
      <c r="O81" s="205"/>
      <c r="P81" s="205"/>
      <c r="Q81" s="205"/>
      <c r="R81" s="205"/>
      <c r="S81" s="86">
        <f t="shared" si="10"/>
        <v>0</v>
      </c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idden="1" x14ac:dyDescent="0.2">
      <c r="A82" s="23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5"/>
      <c r="O82" s="205"/>
      <c r="P82" s="205"/>
      <c r="Q82" s="205"/>
      <c r="R82" s="205"/>
      <c r="S82" s="86">
        <f t="shared" si="10"/>
        <v>0</v>
      </c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idden="1" x14ac:dyDescent="0.2">
      <c r="A83" s="231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5"/>
      <c r="O83" s="205"/>
      <c r="P83" s="205"/>
      <c r="Q83" s="205"/>
      <c r="R83" s="205"/>
      <c r="S83" s="86">
        <f t="shared" si="10"/>
        <v>0</v>
      </c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hidden="1" x14ac:dyDescent="0.2">
      <c r="A84" s="231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5"/>
      <c r="O84" s="205"/>
      <c r="P84" s="205"/>
      <c r="Q84" s="205"/>
      <c r="R84" s="205"/>
      <c r="S84" s="86">
        <f t="shared" si="10"/>
        <v>0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hidden="1" x14ac:dyDescent="0.2">
      <c r="A85" s="231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5"/>
      <c r="O85" s="205"/>
      <c r="P85" s="205"/>
      <c r="Q85" s="205"/>
      <c r="R85" s="205"/>
      <c r="S85" s="86">
        <f t="shared" si="10"/>
        <v>0</v>
      </c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hidden="1" x14ac:dyDescent="0.2">
      <c r="A86" s="231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5"/>
      <c r="O86" s="205"/>
      <c r="P86" s="205"/>
      <c r="Q86" s="205"/>
      <c r="R86" s="205"/>
      <c r="S86" s="86">
        <f t="shared" si="10"/>
        <v>0</v>
      </c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hidden="1" x14ac:dyDescent="0.2">
      <c r="A87" s="231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5"/>
      <c r="O87" s="205"/>
      <c r="P87" s="205"/>
      <c r="Q87" s="205"/>
      <c r="R87" s="205"/>
      <c r="S87" s="86">
        <f t="shared" si="10"/>
        <v>0</v>
      </c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hidden="1" x14ac:dyDescent="0.2">
      <c r="A88" s="231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5"/>
      <c r="O88" s="205"/>
      <c r="P88" s="205"/>
      <c r="Q88" s="205"/>
      <c r="R88" s="205"/>
      <c r="S88" s="86">
        <f t="shared" si="10"/>
        <v>0</v>
      </c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hidden="1" x14ac:dyDescent="0.2">
      <c r="A89" s="231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5"/>
      <c r="O89" s="205"/>
      <c r="P89" s="205"/>
      <c r="Q89" s="205"/>
      <c r="R89" s="205"/>
      <c r="S89" s="86">
        <f t="shared" si="10"/>
        <v>0</v>
      </c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hidden="1" x14ac:dyDescent="0.2">
      <c r="A90" s="23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5"/>
      <c r="O90" s="205"/>
      <c r="P90" s="205"/>
      <c r="Q90" s="205"/>
      <c r="R90" s="205"/>
      <c r="S90" s="86">
        <f t="shared" si="10"/>
        <v>0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hidden="1" x14ac:dyDescent="0.2">
      <c r="A91" s="231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5"/>
      <c r="O91" s="205"/>
      <c r="P91" s="205"/>
      <c r="Q91" s="205"/>
      <c r="R91" s="205"/>
      <c r="S91" s="86">
        <f t="shared" si="10"/>
        <v>0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hidden="1" x14ac:dyDescent="0.2">
      <c r="A92" s="23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5"/>
      <c r="O92" s="205"/>
      <c r="P92" s="205"/>
      <c r="Q92" s="205"/>
      <c r="R92" s="205"/>
      <c r="S92" s="86">
        <f t="shared" si="10"/>
        <v>0</v>
      </c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hidden="1" x14ac:dyDescent="0.2">
      <c r="A93" s="23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5"/>
      <c r="O93" s="205"/>
      <c r="P93" s="205"/>
      <c r="Q93" s="205"/>
      <c r="R93" s="205"/>
      <c r="S93" s="86">
        <f t="shared" si="10"/>
        <v>0</v>
      </c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hidden="1" x14ac:dyDescent="0.2">
      <c r="A94" s="23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5"/>
      <c r="O94" s="205"/>
      <c r="P94" s="205"/>
      <c r="Q94" s="205"/>
      <c r="R94" s="205"/>
      <c r="S94" s="86">
        <f t="shared" si="10"/>
        <v>0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hidden="1" x14ac:dyDescent="0.2">
      <c r="A95" s="231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5"/>
      <c r="O95" s="205"/>
      <c r="P95" s="205"/>
      <c r="Q95" s="205"/>
      <c r="R95" s="205"/>
      <c r="S95" s="86">
        <f t="shared" si="10"/>
        <v>0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hidden="1" x14ac:dyDescent="0.2">
      <c r="A96" s="231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5"/>
      <c r="O96" s="205"/>
      <c r="P96" s="205"/>
      <c r="Q96" s="205"/>
      <c r="R96" s="205"/>
      <c r="S96" s="86">
        <f t="shared" si="10"/>
        <v>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idden="1" x14ac:dyDescent="0.2">
      <c r="A97" s="23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5"/>
      <c r="O97" s="205"/>
      <c r="P97" s="205"/>
      <c r="Q97" s="205"/>
      <c r="R97" s="205"/>
      <c r="S97" s="86">
        <f t="shared" si="10"/>
        <v>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idden="1" x14ac:dyDescent="0.2">
      <c r="A98" s="23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5"/>
      <c r="O98" s="205"/>
      <c r="P98" s="205"/>
      <c r="Q98" s="205"/>
      <c r="R98" s="205"/>
      <c r="S98" s="86">
        <f t="shared" si="10"/>
        <v>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idden="1" x14ac:dyDescent="0.2">
      <c r="A99" s="231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5"/>
      <c r="O99" s="205"/>
      <c r="P99" s="205"/>
      <c r="Q99" s="205"/>
      <c r="R99" s="205"/>
      <c r="S99" s="86">
        <f t="shared" si="10"/>
        <v>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idden="1" x14ac:dyDescent="0.2">
      <c r="A100" s="231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5"/>
      <c r="O100" s="205"/>
      <c r="P100" s="205"/>
      <c r="Q100" s="205"/>
      <c r="R100" s="205"/>
      <c r="S100" s="86">
        <f t="shared" si="10"/>
        <v>0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idden="1" x14ac:dyDescent="0.2">
      <c r="A101" s="231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5"/>
      <c r="O101" s="205"/>
      <c r="P101" s="205"/>
      <c r="Q101" s="205"/>
      <c r="R101" s="205"/>
      <c r="S101" s="86">
        <f t="shared" si="10"/>
        <v>0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idden="1" x14ac:dyDescent="0.2">
      <c r="A102" s="23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5"/>
      <c r="O102" s="205"/>
      <c r="P102" s="205"/>
      <c r="Q102" s="205"/>
      <c r="R102" s="205"/>
      <c r="S102" s="86">
        <f t="shared" si="10"/>
        <v>0</v>
      </c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hidden="1" x14ac:dyDescent="0.2">
      <c r="A103" s="23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5"/>
      <c r="O103" s="205"/>
      <c r="P103" s="205"/>
      <c r="Q103" s="205"/>
      <c r="R103" s="205"/>
      <c r="S103" s="86">
        <f t="shared" si="10"/>
        <v>0</v>
      </c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</row>
    <row r="104" spans="1:51" hidden="1" x14ac:dyDescent="0.2">
      <c r="A104" s="231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5"/>
      <c r="O104" s="205"/>
      <c r="P104" s="205"/>
      <c r="Q104" s="205"/>
      <c r="R104" s="205"/>
      <c r="S104" s="86">
        <f t="shared" si="10"/>
        <v>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</row>
    <row r="105" spans="1:51" hidden="1" x14ac:dyDescent="0.2">
      <c r="A105" s="231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5"/>
      <c r="O105" s="205"/>
      <c r="P105" s="205"/>
      <c r="Q105" s="205"/>
      <c r="R105" s="205"/>
      <c r="S105" s="86">
        <f t="shared" si="10"/>
        <v>0</v>
      </c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</row>
    <row r="106" spans="1:51" hidden="1" x14ac:dyDescent="0.2">
      <c r="A106" s="23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5"/>
      <c r="O106" s="205"/>
      <c r="P106" s="205"/>
      <c r="Q106" s="205"/>
      <c r="R106" s="205"/>
      <c r="S106" s="86">
        <f t="shared" si="10"/>
        <v>0</v>
      </c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</row>
    <row r="107" spans="1:51" hidden="1" x14ac:dyDescent="0.2">
      <c r="A107" s="231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5"/>
      <c r="O107" s="205"/>
      <c r="P107" s="205"/>
      <c r="Q107" s="205"/>
      <c r="R107" s="205"/>
      <c r="S107" s="86">
        <f t="shared" si="10"/>
        <v>0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</row>
    <row r="108" spans="1:51" x14ac:dyDescent="0.2">
      <c r="A108" s="348" t="s">
        <v>68</v>
      </c>
      <c r="B108" s="349"/>
      <c r="C108" s="3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53">
        <f>SUM(N74:N107)</f>
        <v>0</v>
      </c>
      <c r="O108" s="153">
        <f t="shared" ref="O108:R108" si="11">SUM(O74:O107)</f>
        <v>0</v>
      </c>
      <c r="P108" s="153">
        <f t="shared" si="11"/>
        <v>0</v>
      </c>
      <c r="Q108" s="153">
        <f t="shared" si="11"/>
        <v>0</v>
      </c>
      <c r="R108" s="153">
        <f t="shared" si="11"/>
        <v>0</v>
      </c>
      <c r="S108" s="153">
        <f>SUM(S74:S107)</f>
        <v>0</v>
      </c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</row>
    <row r="109" spans="1:51" x14ac:dyDescent="0.2"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</row>
    <row r="110" spans="1:51" x14ac:dyDescent="0.2"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</row>
    <row r="111" spans="1:51" hidden="1" x14ac:dyDescent="0.2">
      <c r="A111" s="23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14"/>
      <c r="O111" s="214"/>
      <c r="P111" s="214"/>
      <c r="Q111" s="214"/>
      <c r="R111" s="214"/>
      <c r="S111" s="90">
        <f t="shared" ref="S111:S114" si="12">SUM(N111:R111)</f>
        <v>0</v>
      </c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</row>
    <row r="112" spans="1:51" hidden="1" x14ac:dyDescent="0.2">
      <c r="A112" s="231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14"/>
      <c r="O112" s="214"/>
      <c r="P112" s="214"/>
      <c r="Q112" s="214"/>
      <c r="R112" s="214"/>
      <c r="S112" s="90">
        <f t="shared" si="12"/>
        <v>0</v>
      </c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</row>
    <row r="113" spans="1:51" hidden="1" x14ac:dyDescent="0.2">
      <c r="A113" s="231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14"/>
      <c r="O113" s="214"/>
      <c r="P113" s="214"/>
      <c r="Q113" s="214"/>
      <c r="R113" s="214"/>
      <c r="S113" s="90">
        <f t="shared" si="12"/>
        <v>0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</row>
    <row r="114" spans="1:51" hidden="1" x14ac:dyDescent="0.2">
      <c r="A114" s="231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14"/>
      <c r="O114" s="214"/>
      <c r="P114" s="214"/>
      <c r="Q114" s="214"/>
      <c r="R114" s="214"/>
      <c r="S114" s="90">
        <f t="shared" si="12"/>
        <v>0</v>
      </c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</row>
    <row r="115" spans="1:51" x14ac:dyDescent="0.2">
      <c r="A115" s="232" t="s">
        <v>224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2"/>
      <c r="N115" s="213"/>
      <c r="O115" s="213"/>
      <c r="P115" s="213"/>
      <c r="Q115" s="213"/>
      <c r="R115" s="213"/>
      <c r="S115" s="88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</row>
    <row r="116" spans="1:51" x14ac:dyDescent="0.2">
      <c r="A116" s="23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204"/>
      <c r="P116" s="204"/>
      <c r="Q116" s="204"/>
      <c r="R116" s="204"/>
      <c r="S116" s="90">
        <f t="shared" ref="S116:S133" si="13">SUM(N116:R116)</f>
        <v>0</v>
      </c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</row>
    <row r="117" spans="1:51" x14ac:dyDescent="0.2">
      <c r="A117" s="231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O117" s="204"/>
      <c r="P117" s="204"/>
      <c r="Q117" s="204"/>
      <c r="R117" s="204"/>
      <c r="S117" s="90">
        <f t="shared" si="13"/>
        <v>0</v>
      </c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</row>
    <row r="118" spans="1:51" x14ac:dyDescent="0.2">
      <c r="A118" s="231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4"/>
      <c r="O118" s="204"/>
      <c r="P118" s="204"/>
      <c r="Q118" s="204"/>
      <c r="R118" s="204"/>
      <c r="S118" s="90">
        <f t="shared" si="13"/>
        <v>0</v>
      </c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</row>
    <row r="119" spans="1:51" x14ac:dyDescent="0.2">
      <c r="A119" s="231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4"/>
      <c r="O119" s="204"/>
      <c r="P119" s="204"/>
      <c r="Q119" s="204"/>
      <c r="R119" s="204"/>
      <c r="S119" s="90">
        <f t="shared" si="13"/>
        <v>0</v>
      </c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</row>
    <row r="120" spans="1:51" x14ac:dyDescent="0.2">
      <c r="A120" s="231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4"/>
      <c r="O120" s="204"/>
      <c r="P120" s="204"/>
      <c r="Q120" s="204"/>
      <c r="R120" s="204"/>
      <c r="S120" s="90">
        <f t="shared" si="13"/>
        <v>0</v>
      </c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</row>
    <row r="121" spans="1:51" x14ac:dyDescent="0.2">
      <c r="A121" s="231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4"/>
      <c r="O121" s="204"/>
      <c r="P121" s="204"/>
      <c r="Q121" s="204"/>
      <c r="R121" s="204"/>
      <c r="S121" s="90">
        <f t="shared" si="13"/>
        <v>0</v>
      </c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</row>
    <row r="122" spans="1:51" hidden="1" x14ac:dyDescent="0.2">
      <c r="A122" s="231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4"/>
      <c r="P122" s="204"/>
      <c r="Q122" s="204"/>
      <c r="R122" s="204"/>
      <c r="S122" s="90">
        <f t="shared" si="13"/>
        <v>0</v>
      </c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</row>
    <row r="123" spans="1:51" hidden="1" x14ac:dyDescent="0.2">
      <c r="A123" s="231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4"/>
      <c r="O123" s="204"/>
      <c r="P123" s="204"/>
      <c r="Q123" s="204"/>
      <c r="R123" s="204"/>
      <c r="S123" s="90">
        <f t="shared" si="13"/>
        <v>0</v>
      </c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</row>
    <row r="124" spans="1:51" hidden="1" x14ac:dyDescent="0.2">
      <c r="A124" s="231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204"/>
      <c r="P124" s="204"/>
      <c r="Q124" s="204"/>
      <c r="R124" s="204"/>
      <c r="S124" s="90">
        <f t="shared" si="13"/>
        <v>0</v>
      </c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</row>
    <row r="125" spans="1:51" hidden="1" x14ac:dyDescent="0.2">
      <c r="A125" s="231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204"/>
      <c r="P125" s="204"/>
      <c r="Q125" s="204"/>
      <c r="R125" s="204"/>
      <c r="S125" s="90">
        <f t="shared" si="13"/>
        <v>0</v>
      </c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</row>
    <row r="126" spans="1:51" hidden="1" x14ac:dyDescent="0.2">
      <c r="A126" s="231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204"/>
      <c r="P126" s="204"/>
      <c r="Q126" s="204"/>
      <c r="R126" s="204"/>
      <c r="S126" s="90">
        <f t="shared" si="13"/>
        <v>0</v>
      </c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</row>
    <row r="127" spans="1:51" hidden="1" x14ac:dyDescent="0.2">
      <c r="A127" s="231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204"/>
      <c r="P127" s="204"/>
      <c r="Q127" s="204"/>
      <c r="R127" s="204"/>
      <c r="S127" s="90">
        <f t="shared" si="13"/>
        <v>0</v>
      </c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</row>
    <row r="128" spans="1:51" hidden="1" x14ac:dyDescent="0.2">
      <c r="A128" s="231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204"/>
      <c r="P128" s="204"/>
      <c r="Q128" s="204"/>
      <c r="R128" s="204"/>
      <c r="S128" s="90">
        <f t="shared" si="13"/>
        <v>0</v>
      </c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</row>
    <row r="129" spans="1:51" hidden="1" x14ac:dyDescent="0.2">
      <c r="A129" s="231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4"/>
      <c r="P129" s="204"/>
      <c r="Q129" s="204"/>
      <c r="R129" s="204"/>
      <c r="S129" s="90">
        <f t="shared" si="13"/>
        <v>0</v>
      </c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</row>
    <row r="130" spans="1:51" hidden="1" x14ac:dyDescent="0.2">
      <c r="A130" s="231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4"/>
      <c r="O130" s="204"/>
      <c r="P130" s="204"/>
      <c r="Q130" s="204"/>
      <c r="R130" s="204"/>
      <c r="S130" s="90">
        <f t="shared" si="13"/>
        <v>0</v>
      </c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</row>
    <row r="131" spans="1:51" hidden="1" x14ac:dyDescent="0.2">
      <c r="A131" s="231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4"/>
      <c r="O131" s="204"/>
      <c r="P131" s="204"/>
      <c r="Q131" s="204"/>
      <c r="R131" s="204"/>
      <c r="S131" s="90">
        <f t="shared" si="13"/>
        <v>0</v>
      </c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</row>
    <row r="132" spans="1:51" hidden="1" x14ac:dyDescent="0.2">
      <c r="A132" s="231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4"/>
      <c r="O132" s="204"/>
      <c r="P132" s="204"/>
      <c r="Q132" s="204"/>
      <c r="R132" s="204"/>
      <c r="S132" s="90">
        <f t="shared" si="13"/>
        <v>0</v>
      </c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</row>
    <row r="133" spans="1:51" hidden="1" x14ac:dyDescent="0.2">
      <c r="A133" s="231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04"/>
      <c r="O133" s="204"/>
      <c r="P133" s="204"/>
      <c r="Q133" s="204"/>
      <c r="R133" s="204"/>
      <c r="S133" s="90">
        <f t="shared" si="13"/>
        <v>0</v>
      </c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</row>
    <row r="134" spans="1:51" x14ac:dyDescent="0.2">
      <c r="A134" s="160" t="s">
        <v>81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2"/>
      <c r="N134" s="147">
        <f>SUM(N116:N121)</f>
        <v>0</v>
      </c>
      <c r="O134" s="147">
        <f>SUM(O116:O121)</f>
        <v>0</v>
      </c>
      <c r="P134" s="147">
        <f>SUM(P111:P133)</f>
        <v>0</v>
      </c>
      <c r="Q134" s="147">
        <f>SUM(Q111:Q133)</f>
        <v>0</v>
      </c>
      <c r="R134" s="147">
        <f>SUM(R111:R133)</f>
        <v>0</v>
      </c>
      <c r="S134" s="148">
        <f>N134+O134</f>
        <v>0</v>
      </c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</row>
    <row r="135" spans="1:51" x14ac:dyDescent="0.2">
      <c r="A135" s="160" t="s">
        <v>82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2"/>
      <c r="N135" s="287">
        <f>N134+N108+N71+N60</f>
        <v>0</v>
      </c>
      <c r="O135" s="287">
        <f>O134+O108+O71+O60</f>
        <v>0</v>
      </c>
      <c r="P135" s="287" t="e">
        <f>P60+#REF!+P71+P108+#REF!+#REF!+P134</f>
        <v>#REF!</v>
      </c>
      <c r="Q135" s="287" t="e">
        <f>Q60+#REF!+Q71+Q108+#REF!+#REF!+Q134</f>
        <v>#REF!</v>
      </c>
      <c r="R135" s="287" t="e">
        <f>R60+#REF!+R71+R108+#REF!+#REF!+R134</f>
        <v>#REF!</v>
      </c>
      <c r="S135" s="288">
        <f>N135+O135</f>
        <v>0</v>
      </c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</row>
    <row r="136" spans="1:51" hidden="1" x14ac:dyDescent="0.2">
      <c r="A136" s="241" t="s">
        <v>101</v>
      </c>
      <c r="B136" s="237"/>
      <c r="C136" s="237"/>
      <c r="D136" s="238"/>
      <c r="E136" s="423" t="s">
        <v>102</v>
      </c>
      <c r="F136" s="424"/>
      <c r="G136" s="424"/>
      <c r="H136" s="424"/>
      <c r="I136" s="424"/>
      <c r="J136" s="424"/>
      <c r="K136" s="424"/>
      <c r="L136" s="424"/>
      <c r="M136" s="425"/>
      <c r="N136" s="289"/>
      <c r="O136" s="289"/>
      <c r="P136" s="289"/>
      <c r="Q136" s="289"/>
      <c r="R136" s="289"/>
      <c r="S136" s="290">
        <f>SUM(N136:R136)</f>
        <v>0</v>
      </c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</row>
    <row r="137" spans="1:51" x14ac:dyDescent="0.2">
      <c r="A137" s="242" t="s">
        <v>84</v>
      </c>
      <c r="B137" s="239"/>
      <c r="C137" s="240"/>
      <c r="D137" s="240"/>
      <c r="E137" s="426" t="s">
        <v>97</v>
      </c>
      <c r="F137" s="427"/>
      <c r="G137" s="428"/>
      <c r="H137" s="429" t="s">
        <v>98</v>
      </c>
      <c r="I137" s="430"/>
      <c r="J137" s="426" t="s">
        <v>100</v>
      </c>
      <c r="K137" s="427"/>
      <c r="L137" s="431">
        <v>0.1</v>
      </c>
      <c r="M137" s="432"/>
      <c r="N137" s="291">
        <f>ROUND(N135*L137,0)</f>
        <v>0</v>
      </c>
      <c r="O137" s="292">
        <f>ROUND(O135*L137,0)</f>
        <v>0</v>
      </c>
      <c r="P137" s="292" t="e">
        <f>IF(P135=0,0,IF($H$137="Custom",(ROUND(P136*$L$137,0)),(IF(#REF!='W2'!$A$91,ROUND('Subcontract 1'!#REF!*$L$137,0),(ROUND((#REF!-'W2'!E160)/'W2'!E5*'W2'!E9*'W2'!F97+(#REF!-'W2'!E160)/'W2'!E5*'W2'!E10*'W2'!G97,0)+(IF(#REF!="Federal",ROUND('W2'!E160*'W2'!B92,0),(ROUND('W2'!E160*'W2'!B93,0)))))))))</f>
        <v>#REF!</v>
      </c>
      <c r="Q137" s="292" t="e">
        <f>IF(Q135=0,0,IF($H$137="Custom",(ROUND(Q136*$L$137,0)),(IF(#REF!='W2'!$A$91,ROUND('Subcontract 1'!#REF!*$L$137,0),(ROUND((#REF!-'W2'!F160)/'W2'!F5*'W2'!F9*'W2'!H97+(#REF!-'W2'!F160)/'W2'!F5*'W2'!F10*'W2'!I97,0)+(IF(#REF!="Federal",ROUND('W2'!F160*'W2'!B92,0),(ROUND('W2'!F160*'W2'!B93,0)))))))))</f>
        <v>#REF!</v>
      </c>
      <c r="R137" s="292" t="e">
        <f>IF(R135=0,0,IF($H$137="Custom",(ROUND(R136*$L$137,0)),(IF(#REF!='W2'!$A$91,ROUND('Subcontract 1'!#REF!*$L$137,0),(ROUND((#REF!-'W2'!G160)/'W2'!G5*'W2'!G9*'W2'!J97+(#REF!-'W2'!G160)/'W2'!G5*'W2'!G10*'W2'!K97,0)+(IF(#REF!="Federal",ROUND('W2'!G160*'W2'!B92,0),(ROUND('W2'!G160*'W2'!B93,0)))))))))</f>
        <v>#REF!</v>
      </c>
      <c r="S137" s="288">
        <f>N137+O137</f>
        <v>0</v>
      </c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</row>
    <row r="138" spans="1:51" x14ac:dyDescent="0.2">
      <c r="A138" s="95" t="s">
        <v>85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66"/>
      <c r="M138" s="67"/>
      <c r="N138" s="293">
        <f t="shared" ref="N138:S138" si="14">N135+N137</f>
        <v>0</v>
      </c>
      <c r="O138" s="293">
        <f t="shared" si="14"/>
        <v>0</v>
      </c>
      <c r="P138" s="293" t="e">
        <f t="shared" si="14"/>
        <v>#REF!</v>
      </c>
      <c r="Q138" s="293" t="e">
        <f t="shared" si="14"/>
        <v>#REF!</v>
      </c>
      <c r="R138" s="293" t="e">
        <f t="shared" si="14"/>
        <v>#REF!</v>
      </c>
      <c r="S138" s="293">
        <f t="shared" si="14"/>
        <v>0</v>
      </c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</row>
    <row r="139" spans="1:51" x14ac:dyDescent="0.2">
      <c r="A139" s="251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3"/>
      <c r="O139" s="253"/>
      <c r="P139" s="253"/>
      <c r="Q139" s="253"/>
      <c r="R139" s="253"/>
      <c r="S139" s="253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</row>
    <row r="140" spans="1:51" x14ac:dyDescent="0.2">
      <c r="A140" s="237"/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54"/>
      <c r="O140" s="254"/>
      <c r="P140" s="254"/>
      <c r="Q140" s="254"/>
      <c r="R140" s="254"/>
      <c r="S140" s="254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</row>
    <row r="141" spans="1:51" x14ac:dyDescent="0.2">
      <c r="A141" s="237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47"/>
      <c r="O141" s="247"/>
      <c r="P141" s="247"/>
      <c r="Q141" s="247"/>
      <c r="R141" s="247"/>
      <c r="S141" s="24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</row>
    <row r="142" spans="1:51" x14ac:dyDescent="0.2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47"/>
      <c r="O142" s="247"/>
      <c r="P142" s="247"/>
      <c r="Q142" s="247"/>
      <c r="R142" s="247"/>
      <c r="S142" s="24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</row>
    <row r="143" spans="1:51" x14ac:dyDescent="0.2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47"/>
      <c r="O143" s="247"/>
      <c r="P143" s="247"/>
      <c r="Q143" s="247"/>
      <c r="R143" s="247"/>
      <c r="S143" s="24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</row>
    <row r="144" spans="1:51" x14ac:dyDescent="0.2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54"/>
      <c r="O144" s="254"/>
      <c r="P144" s="254"/>
      <c r="Q144" s="254"/>
      <c r="R144" s="254"/>
      <c r="S144" s="254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</row>
    <row r="145" spans="1:51" x14ac:dyDescent="0.2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47"/>
      <c r="O145" s="247"/>
      <c r="P145" s="247"/>
      <c r="Q145" s="247"/>
      <c r="R145" s="247"/>
      <c r="S145" s="24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</row>
    <row r="146" spans="1:51" x14ac:dyDescent="0.2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</row>
    <row r="147" spans="1:51" x14ac:dyDescent="0.2">
      <c r="A147" s="237"/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</row>
    <row r="148" spans="1:51" x14ac:dyDescent="0.2">
      <c r="A148" s="237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</row>
    <row r="149" spans="1:51" x14ac:dyDescent="0.2">
      <c r="A149" s="237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</row>
    <row r="150" spans="1:51" x14ac:dyDescent="0.2">
      <c r="A150" s="237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</row>
    <row r="151" spans="1:51" x14ac:dyDescent="0.2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</row>
    <row r="152" spans="1:51" x14ac:dyDescent="0.2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</row>
    <row r="153" spans="1:51" x14ac:dyDescent="0.2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</row>
    <row r="154" spans="1:51" x14ac:dyDescent="0.2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</row>
    <row r="155" spans="1:51" x14ac:dyDescent="0.2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</row>
    <row r="156" spans="1:51" x14ac:dyDescent="0.2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</row>
    <row r="157" spans="1:51" x14ac:dyDescent="0.2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</row>
    <row r="158" spans="1:51" x14ac:dyDescent="0.2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</row>
    <row r="159" spans="1:51" x14ac:dyDescent="0.2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</row>
    <row r="160" spans="1:51" x14ac:dyDescent="0.2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</row>
    <row r="161" spans="1:22" x14ac:dyDescent="0.2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</row>
    <row r="162" spans="1:22" x14ac:dyDescent="0.2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</row>
    <row r="163" spans="1:22" x14ac:dyDescent="0.2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</row>
    <row r="164" spans="1:22" x14ac:dyDescent="0.2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</row>
    <row r="165" spans="1:22" x14ac:dyDescent="0.2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</row>
    <row r="166" spans="1:22" x14ac:dyDescent="0.2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</row>
    <row r="167" spans="1:22" x14ac:dyDescent="0.2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</row>
    <row r="168" spans="1:22" x14ac:dyDescent="0.2">
      <c r="A168" s="237"/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</row>
    <row r="169" spans="1:22" x14ac:dyDescent="0.2">
      <c r="A169" s="237"/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</row>
    <row r="170" spans="1:22" x14ac:dyDescent="0.2">
      <c r="A170" s="237"/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</row>
    <row r="171" spans="1:22" x14ac:dyDescent="0.2">
      <c r="A171" s="237"/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</row>
    <row r="172" spans="1:22" x14ac:dyDescent="0.2">
      <c r="A172" s="237"/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</row>
    <row r="173" spans="1:22" x14ac:dyDescent="0.2">
      <c r="A173" s="237"/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</row>
    <row r="174" spans="1:22" x14ac:dyDescent="0.2">
      <c r="A174" s="237"/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</row>
    <row r="175" spans="1:22" x14ac:dyDescent="0.2">
      <c r="A175" s="237"/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</row>
    <row r="176" spans="1:22" x14ac:dyDescent="0.2">
      <c r="A176" s="237"/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</row>
    <row r="177" spans="1:22" x14ac:dyDescent="0.2">
      <c r="A177" s="237"/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</row>
    <row r="178" spans="1:22" x14ac:dyDescent="0.2">
      <c r="A178" s="237"/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</row>
    <row r="179" spans="1:22" x14ac:dyDescent="0.2">
      <c r="A179" s="237"/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</row>
    <row r="180" spans="1:22" x14ac:dyDescent="0.2">
      <c r="A180" s="237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</row>
    <row r="181" spans="1:22" x14ac:dyDescent="0.2">
      <c r="A181" s="237"/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</row>
    <row r="182" spans="1:22" x14ac:dyDescent="0.2">
      <c r="A182" s="237"/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</row>
    <row r="183" spans="1:22" x14ac:dyDescent="0.2">
      <c r="A183" s="237"/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</row>
    <row r="184" spans="1:22" x14ac:dyDescent="0.2">
      <c r="A184" s="237"/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</row>
    <row r="185" spans="1:22" x14ac:dyDescent="0.2">
      <c r="A185" s="237"/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</row>
    <row r="186" spans="1:22" x14ac:dyDescent="0.2">
      <c r="A186" s="237"/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</row>
    <row r="187" spans="1:22" x14ac:dyDescent="0.2">
      <c r="A187" s="237"/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</row>
    <row r="188" spans="1:22" x14ac:dyDescent="0.2">
      <c r="A188" s="237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</row>
    <row r="189" spans="1:22" x14ac:dyDescent="0.2">
      <c r="A189" s="237"/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</row>
    <row r="190" spans="1:22" x14ac:dyDescent="0.2">
      <c r="A190" s="237"/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</row>
    <row r="191" spans="1:22" x14ac:dyDescent="0.2">
      <c r="A191" s="237"/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</row>
    <row r="192" spans="1:22" x14ac:dyDescent="0.2">
      <c r="A192" s="237"/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</row>
    <row r="193" spans="1:22" x14ac:dyDescent="0.2">
      <c r="A193" s="237"/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</row>
    <row r="194" spans="1:22" x14ac:dyDescent="0.2">
      <c r="A194" s="237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</row>
    <row r="195" spans="1:22" x14ac:dyDescent="0.2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</row>
    <row r="196" spans="1:22" x14ac:dyDescent="0.2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</row>
    <row r="197" spans="1:22" x14ac:dyDescent="0.2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</row>
    <row r="198" spans="1:22" x14ac:dyDescent="0.2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</row>
    <row r="199" spans="1:22" x14ac:dyDescent="0.2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</row>
    <row r="200" spans="1:22" x14ac:dyDescent="0.2">
      <c r="A200" s="237"/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</row>
    <row r="201" spans="1:22" x14ac:dyDescent="0.2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</row>
    <row r="202" spans="1:22" x14ac:dyDescent="0.2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</row>
    <row r="203" spans="1:22" x14ac:dyDescent="0.2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</row>
    <row r="204" spans="1:22" x14ac:dyDescent="0.2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</row>
    <row r="205" spans="1:22" x14ac:dyDescent="0.2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</row>
    <row r="206" spans="1:22" x14ac:dyDescent="0.2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</row>
    <row r="207" spans="1:22" x14ac:dyDescent="0.2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</row>
    <row r="208" spans="1:22" x14ac:dyDescent="0.2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</row>
    <row r="209" spans="1:22" x14ac:dyDescent="0.2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</row>
    <row r="210" spans="1:22" x14ac:dyDescent="0.2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</row>
    <row r="211" spans="1:22" x14ac:dyDescent="0.2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</row>
    <row r="212" spans="1:22" x14ac:dyDescent="0.2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</row>
    <row r="213" spans="1:22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</row>
    <row r="214" spans="1:22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</row>
    <row r="215" spans="1:22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</row>
    <row r="216" spans="1:22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</row>
    <row r="217" spans="1:22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</row>
    <row r="218" spans="1:22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</row>
    <row r="219" spans="1:22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22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22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22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  <row r="223" spans="1:22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</row>
    <row r="224" spans="1:22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</row>
    <row r="226" spans="1:22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</row>
    <row r="227" spans="1:22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</row>
    <row r="228" spans="1:22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</row>
    <row r="229" spans="1:22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</row>
    <row r="230" spans="1:22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</row>
    <row r="231" spans="1:22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</row>
    <row r="232" spans="1:22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</row>
    <row r="233" spans="1:22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</row>
    <row r="234" spans="1:22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</row>
    <row r="235" spans="1:22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</row>
    <row r="236" spans="1:22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</row>
    <row r="237" spans="1:22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</row>
    <row r="238" spans="1:22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</row>
    <row r="239" spans="1:22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</row>
    <row r="240" spans="1:22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</row>
    <row r="241" spans="1:22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</row>
    <row r="242" spans="1:22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</row>
    <row r="243" spans="1:22" x14ac:dyDescent="0.2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</row>
    <row r="244" spans="1:22" x14ac:dyDescent="0.2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</row>
    <row r="245" spans="1:22" x14ac:dyDescent="0.2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</row>
    <row r="246" spans="1:22" x14ac:dyDescent="0.2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</row>
    <row r="247" spans="1:22" x14ac:dyDescent="0.2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</row>
    <row r="248" spans="1:22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</row>
    <row r="249" spans="1:22" x14ac:dyDescent="0.2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</row>
    <row r="250" spans="1:22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</row>
    <row r="251" spans="1:22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</row>
    <row r="254" spans="1:22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</row>
    <row r="255" spans="1:22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</row>
    <row r="256" spans="1:22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</row>
    <row r="257" spans="1:22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</row>
    <row r="258" spans="1:22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</row>
    <row r="259" spans="1:22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</row>
    <row r="260" spans="1:22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</row>
    <row r="261" spans="1:22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</row>
    <row r="262" spans="1:22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</row>
    <row r="263" spans="1:22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</row>
    <row r="264" spans="1:22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</row>
    <row r="265" spans="1:22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</row>
    <row r="266" spans="1:22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</row>
    <row r="267" spans="1:22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</row>
    <row r="268" spans="1:22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x14ac:dyDescent="0.2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</row>
    <row r="270" spans="1:22" x14ac:dyDescent="0.2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</row>
    <row r="271" spans="1:22" x14ac:dyDescent="0.2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</row>
    <row r="272" spans="1:22" x14ac:dyDescent="0.2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</row>
    <row r="273" spans="1:22" x14ac:dyDescent="0.2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</row>
    <row r="274" spans="1:22" x14ac:dyDescent="0.2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</row>
    <row r="275" spans="1:22" x14ac:dyDescent="0.2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</row>
    <row r="276" spans="1:22" x14ac:dyDescent="0.2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</row>
    <row r="277" spans="1:22" x14ac:dyDescent="0.2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</row>
    <row r="278" spans="1:22" x14ac:dyDescent="0.2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x14ac:dyDescent="0.2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280" spans="1:22" x14ac:dyDescent="0.2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</row>
    <row r="281" spans="1:22" x14ac:dyDescent="0.2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</row>
    <row r="282" spans="1:22" x14ac:dyDescent="0.2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</row>
    <row r="283" spans="1:22" x14ac:dyDescent="0.2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</row>
    <row r="284" spans="1:22" x14ac:dyDescent="0.2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</row>
    <row r="285" spans="1:22" x14ac:dyDescent="0.2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</row>
    <row r="286" spans="1:22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</row>
    <row r="287" spans="1:22" x14ac:dyDescent="0.2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</row>
    <row r="288" spans="1:22" x14ac:dyDescent="0.2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</row>
    <row r="289" spans="1:22" x14ac:dyDescent="0.2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</row>
    <row r="290" spans="1:22" x14ac:dyDescent="0.2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</row>
    <row r="291" spans="1:22" x14ac:dyDescent="0.2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</row>
    <row r="292" spans="1:22" x14ac:dyDescent="0.2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</row>
    <row r="293" spans="1:22" x14ac:dyDescent="0.2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</row>
    <row r="294" spans="1:22" x14ac:dyDescent="0.2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</row>
    <row r="295" spans="1:22" x14ac:dyDescent="0.2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</row>
    <row r="296" spans="1:22" x14ac:dyDescent="0.2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</row>
    <row r="297" spans="1:22" x14ac:dyDescent="0.2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</row>
    <row r="298" spans="1:22" x14ac:dyDescent="0.2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</row>
    <row r="299" spans="1:22" x14ac:dyDescent="0.2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</row>
    <row r="300" spans="1:22" x14ac:dyDescent="0.2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</row>
    <row r="301" spans="1:22" x14ac:dyDescent="0.2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</row>
    <row r="302" spans="1:22" x14ac:dyDescent="0.2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</row>
    <row r="303" spans="1:22" x14ac:dyDescent="0.2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</row>
    <row r="304" spans="1:22" x14ac:dyDescent="0.2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</row>
    <row r="305" spans="1:22" x14ac:dyDescent="0.2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</row>
    <row r="306" spans="1:22" x14ac:dyDescent="0.2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</row>
    <row r="307" spans="1:22" x14ac:dyDescent="0.2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</row>
    <row r="308" spans="1:22" x14ac:dyDescent="0.2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</row>
    <row r="309" spans="1:22" x14ac:dyDescent="0.2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</row>
    <row r="310" spans="1:22" x14ac:dyDescent="0.2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</row>
    <row r="311" spans="1:22" x14ac:dyDescent="0.2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</row>
    <row r="312" spans="1:22" x14ac:dyDescent="0.2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x14ac:dyDescent="0.2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</row>
    <row r="314" spans="1:22" x14ac:dyDescent="0.2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</row>
    <row r="315" spans="1:22" x14ac:dyDescent="0.2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</row>
    <row r="316" spans="1:22" x14ac:dyDescent="0.2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</row>
    <row r="317" spans="1:22" x14ac:dyDescent="0.2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</row>
    <row r="318" spans="1:22" x14ac:dyDescent="0.2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</row>
    <row r="319" spans="1:22" x14ac:dyDescent="0.2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</row>
    <row r="320" spans="1:22" x14ac:dyDescent="0.2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</row>
    <row r="321" spans="1:22" x14ac:dyDescent="0.2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</row>
  </sheetData>
  <sheetProtection formatCells="0" formatColumns="0" formatRows="0"/>
  <dataConsolidate/>
  <mergeCells count="160">
    <mergeCell ref="A71:C71"/>
    <mergeCell ref="A73:C73"/>
    <mergeCell ref="A108:C108"/>
    <mergeCell ref="E136:M136"/>
    <mergeCell ref="E137:G137"/>
    <mergeCell ref="H137:I137"/>
    <mergeCell ref="J137:K137"/>
    <mergeCell ref="L137:M137"/>
    <mergeCell ref="A60:M60"/>
    <mergeCell ref="K62:M62"/>
    <mergeCell ref="B58:C58"/>
    <mergeCell ref="F58:G58"/>
    <mergeCell ref="H58:I58"/>
    <mergeCell ref="J58:K58"/>
    <mergeCell ref="L58:M58"/>
    <mergeCell ref="A59:M59"/>
    <mergeCell ref="A62:I62"/>
    <mergeCell ref="B56:C56"/>
    <mergeCell ref="F56:G56"/>
    <mergeCell ref="H56:I56"/>
    <mergeCell ref="J56:K56"/>
    <mergeCell ref="L56:M56"/>
    <mergeCell ref="B57:C57"/>
    <mergeCell ref="F57:G57"/>
    <mergeCell ref="H57:I57"/>
    <mergeCell ref="J57:K57"/>
    <mergeCell ref="L57:M57"/>
    <mergeCell ref="B54:C54"/>
    <mergeCell ref="F54:G54"/>
    <mergeCell ref="H54:I54"/>
    <mergeCell ref="J54:K54"/>
    <mergeCell ref="L54:M54"/>
    <mergeCell ref="B55:C55"/>
    <mergeCell ref="F55:G55"/>
    <mergeCell ref="H55:I55"/>
    <mergeCell ref="J55:K55"/>
    <mergeCell ref="L55:M55"/>
    <mergeCell ref="B52:C52"/>
    <mergeCell ref="F52:G52"/>
    <mergeCell ref="H52:I52"/>
    <mergeCell ref="J52:K52"/>
    <mergeCell ref="L52:M52"/>
    <mergeCell ref="B53:C53"/>
    <mergeCell ref="F53:G53"/>
    <mergeCell ref="H53:I53"/>
    <mergeCell ref="J53:K53"/>
    <mergeCell ref="L53:M53"/>
    <mergeCell ref="B50:C50"/>
    <mergeCell ref="F50:G50"/>
    <mergeCell ref="H50:I50"/>
    <mergeCell ref="J50:K50"/>
    <mergeCell ref="L50:M50"/>
    <mergeCell ref="B51:C51"/>
    <mergeCell ref="F51:G51"/>
    <mergeCell ref="H51:I51"/>
    <mergeCell ref="J51:K51"/>
    <mergeCell ref="L51:M51"/>
    <mergeCell ref="B48:C48"/>
    <mergeCell ref="F48:G48"/>
    <mergeCell ref="H48:I48"/>
    <mergeCell ref="J48:K48"/>
    <mergeCell ref="L48:M48"/>
    <mergeCell ref="B49:C49"/>
    <mergeCell ref="F49:G49"/>
    <mergeCell ref="H49:I49"/>
    <mergeCell ref="J49:K49"/>
    <mergeCell ref="L49:M49"/>
    <mergeCell ref="B46:C46"/>
    <mergeCell ref="F46:G46"/>
    <mergeCell ref="H46:I46"/>
    <mergeCell ref="J46:K46"/>
    <mergeCell ref="L46:M46"/>
    <mergeCell ref="B47:C47"/>
    <mergeCell ref="F47:G47"/>
    <mergeCell ref="H47:I47"/>
    <mergeCell ref="J47:K47"/>
    <mergeCell ref="L47:M47"/>
    <mergeCell ref="B44:C44"/>
    <mergeCell ref="F44:G44"/>
    <mergeCell ref="H44:I44"/>
    <mergeCell ref="J44:K44"/>
    <mergeCell ref="L44:M44"/>
    <mergeCell ref="B45:C45"/>
    <mergeCell ref="F45:G45"/>
    <mergeCell ref="H45:I45"/>
    <mergeCell ref="J45:K45"/>
    <mergeCell ref="L45:M45"/>
    <mergeCell ref="B42:C42"/>
    <mergeCell ref="F42:G42"/>
    <mergeCell ref="H42:I42"/>
    <mergeCell ref="J42:K42"/>
    <mergeCell ref="L42:M42"/>
    <mergeCell ref="B43:C43"/>
    <mergeCell ref="F43:G43"/>
    <mergeCell ref="H43:I43"/>
    <mergeCell ref="J43:K43"/>
    <mergeCell ref="L43:M43"/>
    <mergeCell ref="B40:C40"/>
    <mergeCell ref="F40:G40"/>
    <mergeCell ref="H40:I40"/>
    <mergeCell ref="J40:K40"/>
    <mergeCell ref="L40:M40"/>
    <mergeCell ref="B41:C41"/>
    <mergeCell ref="F41:G41"/>
    <mergeCell ref="H41:I41"/>
    <mergeCell ref="J41:K41"/>
    <mergeCell ref="L41:M41"/>
    <mergeCell ref="B38:C38"/>
    <mergeCell ref="F38:G38"/>
    <mergeCell ref="H38:I38"/>
    <mergeCell ref="J38:K38"/>
    <mergeCell ref="L38:M38"/>
    <mergeCell ref="B39:C39"/>
    <mergeCell ref="F39:G39"/>
    <mergeCell ref="H39:I39"/>
    <mergeCell ref="J39:K39"/>
    <mergeCell ref="L39:M39"/>
    <mergeCell ref="B36:C36"/>
    <mergeCell ref="F36:G36"/>
    <mergeCell ref="H36:I36"/>
    <mergeCell ref="J36:K36"/>
    <mergeCell ref="L36:M36"/>
    <mergeCell ref="B37:C37"/>
    <mergeCell ref="F37:G37"/>
    <mergeCell ref="H37:I37"/>
    <mergeCell ref="J37:K37"/>
    <mergeCell ref="L37:M37"/>
    <mergeCell ref="A34:C34"/>
    <mergeCell ref="F34:G34"/>
    <mergeCell ref="H34:I34"/>
    <mergeCell ref="J34:K34"/>
    <mergeCell ref="L34:M34"/>
    <mergeCell ref="B35:C35"/>
    <mergeCell ref="F35:G35"/>
    <mergeCell ref="H35:I35"/>
    <mergeCell ref="J35:K35"/>
    <mergeCell ref="L35:M35"/>
    <mergeCell ref="S6:S7"/>
    <mergeCell ref="A32:M32"/>
    <mergeCell ref="M6:M7"/>
    <mergeCell ref="N6:N7"/>
    <mergeCell ref="O6:O7"/>
    <mergeCell ref="P6:P7"/>
    <mergeCell ref="Q6:Q7"/>
    <mergeCell ref="R6:R7"/>
    <mergeCell ref="A6:A7"/>
    <mergeCell ref="B6:D7"/>
    <mergeCell ref="E6:E7"/>
    <mergeCell ref="F6:J6"/>
    <mergeCell ref="K6:K7"/>
    <mergeCell ref="L6:L7"/>
    <mergeCell ref="D1:D2"/>
    <mergeCell ref="F1:N1"/>
    <mergeCell ref="O1:Q1"/>
    <mergeCell ref="R1:S1"/>
    <mergeCell ref="F2:M2"/>
    <mergeCell ref="A4:J5"/>
    <mergeCell ref="K4:L5"/>
    <mergeCell ref="M4:M5"/>
    <mergeCell ref="P4:Q4"/>
  </mergeCells>
  <conditionalFormatting sqref="M8:M31">
    <cfRule type="expression" dxfId="65" priority="8">
      <formula>$S$4="Multi"</formula>
    </cfRule>
  </conditionalFormatting>
  <conditionalFormatting sqref="A136:M136">
    <cfRule type="expression" dxfId="64" priority="9">
      <formula>$H$137&lt;&gt;"CUSTOM"</formula>
    </cfRule>
  </conditionalFormatting>
  <conditionalFormatting sqref="L35:M58">
    <cfRule type="expression" dxfId="63" priority="1">
      <formula>$R$2="0 Months"</formula>
    </cfRule>
  </conditionalFormatting>
  <conditionalFormatting sqref="F35:G58">
    <cfRule type="expression" dxfId="62" priority="4">
      <formula>$O$2="0 Months"</formula>
    </cfRule>
  </conditionalFormatting>
  <conditionalFormatting sqref="H35:I58">
    <cfRule type="expression" dxfId="61" priority="3">
      <formula>$P$2="0 Months"</formula>
    </cfRule>
  </conditionalFormatting>
  <conditionalFormatting sqref="J35:K58">
    <cfRule type="expression" dxfId="60" priority="2">
      <formula>$Q$2="0 Months"</formula>
    </cfRule>
  </conditionalFormatting>
  <dataValidations count="10"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  <dataValidation type="list" allowBlank="1" showInputMessage="1" showErrorMessage="1" sqref="D1">
      <formula1>"NIH,Non-NIH"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H137">
      <formula1>"MTDC,TC,TDC,CUSTOM"</formula1>
    </dataValidation>
    <dataValidation type="list" allowBlank="1" showInputMessage="1" showErrorMessage="1" sqref="M63:M70">
      <formula1>"Yes,No"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K8:K31">
      <formula1>"SMR,AY,CAL"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8EEFA09-71AE-4FAB-B343-FE1635E8F2D5}">
            <xm:f>#REF!&lt;&gt;'W2'!$A$91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H137:K137 E137</xm:sqref>
        </x14:conditionalFormatting>
        <x14:conditionalFormatting xmlns:xm="http://schemas.microsoft.com/office/excel/2006/main">
          <x14:cfRule type="expression" priority="11" id="{F000208B-A471-4808-8C72-8D5FEBBC8362}">
            <xm:f>#REF!&lt;&gt;'W2'!$A$91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L137:M137</xm:sqref>
        </x14:conditionalFormatting>
        <x14:conditionalFormatting xmlns:xm="http://schemas.microsoft.com/office/excel/2006/main">
          <x14:cfRule type="expression" priority="12" id="{D9731D95-51F7-42FA-A5E1-87CD623DAA92}">
            <xm:f>#REF!&lt;&gt;'W2'!$A$91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E136:M136</xm:sqref>
        </x14:conditionalFormatting>
        <x14:conditionalFormatting xmlns:xm="http://schemas.microsoft.com/office/excel/2006/main">
          <x14:cfRule type="expression" priority="7" id="{B25441E8-CCCD-4F94-9CE3-2F3B60FF1920}">
            <xm:f>'W2'!$G$5=0</xm:f>
            <x14:dxf>
              <font>
                <color theme="0"/>
              </font>
            </x14:dxf>
          </x14:cfRule>
          <xm:sqref>L35:M58</xm:sqref>
        </x14:conditionalFormatting>
        <x14:conditionalFormatting xmlns:xm="http://schemas.microsoft.com/office/excel/2006/main">
          <x14:cfRule type="expression" priority="6" id="{6DB697BF-9DA1-48D8-95DC-198F5B3B744C}">
            <xm:f>'W2'!$B$5&lt;'W2'!$C$1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5" id="{7F9B4D10-5888-46CF-A4A0-109C6005A833}">
            <xm:f>'W2'!$B$5&lt;'W2'!$C$1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'W2'!$A$58:$A$70</xm:f>
          </x14:formula1>
          <xm:sqref>D35:D58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Y321"/>
  <sheetViews>
    <sheetView topLeftCell="B1" zoomScaleNormal="100" workbookViewId="0">
      <selection activeCell="Y38" sqref="Y38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5.42578125" style="39" customWidth="1"/>
    <col min="7" max="7" width="5" style="39" customWidth="1"/>
    <col min="8" max="8" width="5.42578125" style="39" customWidth="1"/>
    <col min="9" max="9" width="5.7109375" style="39" customWidth="1"/>
    <col min="10" max="10" width="5.28515625" style="39" customWidth="1"/>
    <col min="11" max="11" width="4.85546875" style="39" bestFit="1" customWidth="1"/>
    <col min="12" max="12" width="5" style="39" customWidth="1"/>
    <col min="13" max="13" width="4.7109375" style="39" customWidth="1"/>
    <col min="14" max="14" width="9.85546875" style="39" customWidth="1"/>
    <col min="15" max="15" width="9.42578125" style="39" customWidth="1"/>
    <col min="16" max="17" width="10" style="39" hidden="1" customWidth="1"/>
    <col min="18" max="18" width="2" style="39" hidden="1" customWidth="1"/>
    <col min="19" max="19" width="10.42578125" style="39" customWidth="1"/>
    <col min="20" max="24" width="9.85546875" style="39" bestFit="1" customWidth="1"/>
    <col min="25" max="16384" width="8.85546875" style="39"/>
  </cols>
  <sheetData>
    <row r="1" spans="1:51" ht="13.15" customHeight="1" thickTop="1" thickBot="1" x14ac:dyDescent="0.25">
      <c r="A1" s="109"/>
      <c r="B1" s="107" t="s">
        <v>1</v>
      </c>
      <c r="C1" s="196">
        <v>43922</v>
      </c>
      <c r="D1" s="327" t="s">
        <v>227</v>
      </c>
      <c r="E1" s="228" t="s">
        <v>186</v>
      </c>
      <c r="F1" s="321"/>
      <c r="G1" s="322"/>
      <c r="H1" s="322"/>
      <c r="I1" s="322"/>
      <c r="J1" s="322"/>
      <c r="K1" s="322"/>
      <c r="L1" s="322"/>
      <c r="M1" s="322"/>
      <c r="N1" s="323"/>
      <c r="O1" s="358"/>
      <c r="P1" s="359"/>
      <c r="Q1" s="359"/>
      <c r="R1" s="391"/>
      <c r="S1" s="39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3.15" customHeight="1" thickTop="1" x14ac:dyDescent="0.2">
      <c r="A2" s="61"/>
      <c r="B2" s="108" t="s">
        <v>2</v>
      </c>
      <c r="C2" s="196">
        <v>44651</v>
      </c>
      <c r="D2" s="328"/>
      <c r="E2" s="229" t="s">
        <v>8</v>
      </c>
      <c r="F2" s="393"/>
      <c r="G2" s="394"/>
      <c r="H2" s="394"/>
      <c r="I2" s="394"/>
      <c r="J2" s="394"/>
      <c r="K2" s="394"/>
      <c r="L2" s="394"/>
      <c r="M2" s="395"/>
      <c r="N2" s="197" t="s">
        <v>221</v>
      </c>
      <c r="O2" s="198" t="str">
        <f>IF('W2'!D5=1,'W2'!D5&amp;" Month",'W2'!D5&amp;" Months")</f>
        <v>12 Months</v>
      </c>
      <c r="P2" s="198" t="str">
        <f>IF('W2'!E5=1,'W2'!E5&amp;" Month",'W2'!E5&amp;" Months")</f>
        <v>0 Months</v>
      </c>
      <c r="Q2" s="198" t="str">
        <f>IF('W2'!F5=1,'W2'!F5&amp;" Month",'W2'!F5&amp;" Months")</f>
        <v>0 Months</v>
      </c>
      <c r="R2" s="198" t="str">
        <f>IF('W2'!G5=1,'W2'!G5&amp;" Month",'W2'!G5&amp;" Months")</f>
        <v>0 Months</v>
      </c>
      <c r="S2" s="198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spans="1:51" ht="3" customHeight="1" thickBot="1" x14ac:dyDescent="0.25">
      <c r="C3" s="4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ht="14.45" customHeight="1" thickBot="1" x14ac:dyDescent="0.25">
      <c r="A4" s="396" t="s">
        <v>4</v>
      </c>
      <c r="B4" s="397"/>
      <c r="C4" s="397"/>
      <c r="D4" s="397"/>
      <c r="E4" s="397"/>
      <c r="F4" s="397"/>
      <c r="G4" s="397"/>
      <c r="H4" s="397"/>
      <c r="I4" s="397"/>
      <c r="J4" s="398"/>
      <c r="K4" s="411"/>
      <c r="L4" s="412"/>
      <c r="M4" s="415" t="s">
        <v>184</v>
      </c>
      <c r="N4" s="279" t="str">
        <f>IF('W2'!B5&gt;='W2'!C1,"",'W2'!B5&amp; " Months")</f>
        <v/>
      </c>
      <c r="O4" s="49"/>
      <c r="P4" s="380" t="s">
        <v>57</v>
      </c>
      <c r="Q4" s="380"/>
      <c r="R4" s="186" t="s">
        <v>218</v>
      </c>
      <c r="S4" s="215">
        <v>0</v>
      </c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pans="1:51" x14ac:dyDescent="0.2">
      <c r="A5" s="399"/>
      <c r="B5" s="400"/>
      <c r="C5" s="400"/>
      <c r="D5" s="400"/>
      <c r="E5" s="400"/>
      <c r="F5" s="400"/>
      <c r="G5" s="400"/>
      <c r="H5" s="400"/>
      <c r="I5" s="400"/>
      <c r="J5" s="401"/>
      <c r="K5" s="413"/>
      <c r="L5" s="414"/>
      <c r="M5" s="416"/>
      <c r="N5" s="50" t="s">
        <v>134</v>
      </c>
      <c r="O5" s="50" t="s">
        <v>135</v>
      </c>
      <c r="P5" s="50" t="s">
        <v>136</v>
      </c>
      <c r="Q5" s="50" t="s">
        <v>139</v>
      </c>
      <c r="R5" s="50" t="s">
        <v>137</v>
      </c>
      <c r="S5" s="115" t="s">
        <v>13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4.45" customHeight="1" x14ac:dyDescent="0.2">
      <c r="A6" s="337"/>
      <c r="B6" s="335" t="s">
        <v>138</v>
      </c>
      <c r="C6" s="335"/>
      <c r="D6" s="335"/>
      <c r="E6" s="339" t="s">
        <v>213</v>
      </c>
      <c r="F6" s="384" t="s">
        <v>168</v>
      </c>
      <c r="G6" s="385"/>
      <c r="H6" s="385"/>
      <c r="I6" s="385"/>
      <c r="J6" s="385"/>
      <c r="K6" s="418"/>
      <c r="L6" s="419"/>
      <c r="M6" s="417"/>
      <c r="N6" s="341" t="str">
        <f>TEXT('W2'!C2,"m/d/yy")&amp;"-"&amp;TEXT('W2'!C3,"m/d/yy")</f>
        <v>4/1/20-3/31/21</v>
      </c>
      <c r="O6" s="341" t="str">
        <f>TEXT('W2'!D2,"m/d/yy")&amp;"-"&amp;TEXT('W2'!D3,"m/d/yy")</f>
        <v>4/1/21-3/31/22</v>
      </c>
      <c r="P6" s="341" t="str">
        <f>TEXT('W2'!E2,"m/d/yy")&amp;"-"&amp;TEXT('W2'!E3,"m/d/yy")</f>
        <v>-</v>
      </c>
      <c r="Q6" s="341" t="str">
        <f>TEXT('W2'!F2,"m/d/yy")&amp;"-"&amp;TEXT('W2'!F3,"m/d/yy")</f>
        <v>-</v>
      </c>
      <c r="R6" s="341" t="str">
        <f>TEXT('W2'!G2,"m/d/yy")&amp;"-"&amp;TEXT('W2'!G3,"m/d/yy")</f>
        <v>-</v>
      </c>
      <c r="S6" s="341" t="str">
        <f>TEXT('W2'!B2,"m/d/yy")&amp;"-"&amp;TEXT('W2'!B3,"m/d/yy")</f>
        <v>4/1/20-3/31/22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</row>
    <row r="7" spans="1:51" x14ac:dyDescent="0.2">
      <c r="A7" s="338"/>
      <c r="B7" s="336"/>
      <c r="C7" s="336"/>
      <c r="D7" s="336"/>
      <c r="E7" s="340"/>
      <c r="F7" s="276" t="s">
        <v>169</v>
      </c>
      <c r="G7" s="276" t="s">
        <v>170</v>
      </c>
      <c r="H7" s="276" t="s">
        <v>171</v>
      </c>
      <c r="I7" s="276" t="s">
        <v>172</v>
      </c>
      <c r="J7" s="276" t="s">
        <v>173</v>
      </c>
      <c r="K7" s="418"/>
      <c r="L7" s="419"/>
      <c r="M7" s="417"/>
      <c r="N7" s="342"/>
      <c r="O7" s="342"/>
      <c r="P7" s="342"/>
      <c r="Q7" s="342"/>
      <c r="R7" s="342"/>
      <c r="S7" s="342"/>
      <c r="T7" s="246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1:51" x14ac:dyDescent="0.2">
      <c r="A8" s="192">
        <v>1</v>
      </c>
      <c r="B8" s="193"/>
      <c r="C8" s="193"/>
      <c r="D8" s="194"/>
      <c r="E8" s="195"/>
      <c r="F8" s="221"/>
      <c r="G8" s="221"/>
      <c r="H8" s="282"/>
      <c r="I8" s="282"/>
      <c r="J8" s="282"/>
      <c r="K8" s="283"/>
      <c r="L8" s="283"/>
      <c r="M8" s="284"/>
      <c r="N8" s="187">
        <f>E8*F8</f>
        <v>0</v>
      </c>
      <c r="O8" s="187">
        <f>E8*G8</f>
        <v>0</v>
      </c>
      <c r="P8" s="187">
        <f>IF('W2'!$C$4='W2'!$D$4,(IF(AND($S$4="Multi",$R$4="FY"),ROUND(((1+$M8)^('W2'!$B$20+1)*'W2'!$E$9+(1+$M8)^('W2'!$B$20+2)*'W2'!$E$10)/12*'Subcontract 2'!$E8*'Subcontract 2'!H8,0),(IF(AND($S$4="Multi",$R$4="PY"),ROUND($E8*H8*((1+$M8)^2)/12*'W2'!$E$5,0),(IF(AND($S$4&lt;&gt;"Multi",$R$4="FY"),ROUND(((1+$S$4)^('W2'!$B$20+1)*'W2'!$E$9+(1+$S$4)^('W2'!$B$20+2)*'W2'!$E$10)/12*'Subcontract 2'!$E8*'Subcontract 2'!H8,0),ROUND($E8*H8*((1+$S$4)^2)/12*'W2'!$E$5,0))))))),(IF(AND($S$4="Multi",$R$4="FY"),ROUND(((1+$M8)^('W2'!$B$20+2)*'W2'!$E$9+(1+$M8)^('W2'!$B$20+3)*'W2'!$E$10)/12*'Subcontract 2'!$E8*'Subcontract 2'!H8,0),(IF(AND($S$4="Multi",$R$4="PY"),ROUND($E8*H8*((1+$M8)^2)/12*'W2'!$E$5,0),(IF(AND($S$4&lt;&gt;"Multi",$R$4="FY"),ROUND(((1+$S$4)^('W2'!$B$20+2)*'W2'!$E$9+(1+$S$4)^('W2'!$B$20+3)*'W2'!$E$10)/12*'Subcontract 2'!$E8*'Subcontract 2'!H8,0),ROUND($E8*H8*((1+$S$4)^2)/12*'W2'!$E$5,0))))))))</f>
        <v>0</v>
      </c>
      <c r="Q8" s="187">
        <f>IF('W2'!$C$4='W2'!$D$4,(IF(AND($S$4="Multi",$R$4="FY"),ROUND(((1+$M8)^('W2'!$B$20+2)*'W2'!$F$9+(1+$M8)^('W2'!$B$20+3)*'W2'!$F$10)/12*'Subcontract 2'!$E8*'Subcontract 2'!$I8,0),(IF(AND($S$4="Multi",$R$4="PY"),ROUND($E8*$I8*((1+$M8)^3)/12*'W2'!$F$5,0),(IF(AND($S$4&lt;&gt;"Multi",$R$4="FY"),ROUND(((1+$S$4)^('W2'!$B$20+2)*'W2'!$F$9+(1+$S$4)^('W2'!$B$20+3)*'W2'!$F$10)/12*'Subcontract 2'!$E8*'Subcontract 2'!$I8,0),ROUND($E8*$I8*((1+$S$4)^3)/12*'W2'!$F$5,0))))))),(IF(AND($S$4="Multi",$R$4="FY"),ROUND(((1+$M8)^('W2'!$B$20+3)*'W2'!$F$9+(1+$M8)^('W2'!$B$20+4)*'W2'!$F$10)/12*'Subcontract 2'!$E8*'Subcontract 2'!$I8,0),(IF(AND($S$4="Multi",$R$4="PY"),ROUND($E8*$I8*((1+$M8)^3)/12*'W2'!$F$5,0),(IF(AND($S$4&lt;&gt;"Multi",$R$4="FY"),ROUND(((1+$S$4)^('W2'!$B$20+3)*'W2'!$F$9+(1+$S$4)^('W2'!$B$20+4)*'W2'!$F$10)/12*'Subcontract 2'!$E8*'Subcontract 2'!$I8,0),ROUND($E8*$I8*((1+$S$4)^3)/12*'W2'!$F$5,0))))))))</f>
        <v>0</v>
      </c>
      <c r="R8" s="187">
        <f>IF('W2'!$C$4='W2'!$D$4,(IF(AND($S$4="Multi",$R$4="FY"),ROUND(((1+$M8)^('W2'!$B$20+3)*'W2'!$G$9+(1+$M8)^('W2'!$B$20+4)*'W2'!$G$10)/12*'Subcontract 2'!$E8*'Subcontract 2'!$J8,0),(IF(AND($S$4="Multi",$R$4="PY"),ROUND($E8*$J8*((1+$M8)^4)/12*'W2'!$G$5,0),(IF(AND($S$4&lt;&gt;"Multi",$R$4="FY"),ROUND(((1+$S$4)^('W2'!$B$20+3)*'W2'!$G$9+(1+$S$4)^('W2'!$B$20+4)*'W2'!$G$10)/12*'Subcontract 2'!$E8*'Subcontract 2'!$J8,0),ROUND($E8*$J8*((1+$S$4)^4)/12*'W2'!$G$5,0))))))),(IF(AND($S$4="Multi",$R$4="FY"),ROUND(((1+$M8)^('W2'!$B$20+4)*'W2'!$G$9+(1+$M8)^('W2'!$B$20+5)*'W2'!$G$10)/12*'Subcontract 2'!$E8*'Subcontract 2'!$J8,0),(IF(AND($S$4="Multi",$R$4="PY"),ROUND($E8*$J8*((1+$M8)^4)/12*'W2'!$G$5,0),(IF(AND($S$4&lt;&gt;"Multi",$R$4="FY"),ROUND(((1+$S$4)^('W2'!$B$20+4)*'W2'!$G$9+(1+$S$4)^('W2'!$B$20+5)*'W2'!$G$10)/12*'Subcontract 2'!$E8*'Subcontract 2'!$J8,0),ROUND($E8*$J8*((1+$S$4)^4)/12*'W2'!$G$5,0))))))))</f>
        <v>0</v>
      </c>
      <c r="S8" s="188">
        <f>SUM(N8:R8)</f>
        <v>0</v>
      </c>
      <c r="T8" s="246"/>
      <c r="U8" s="246"/>
      <c r="V8" s="246"/>
      <c r="W8" s="246"/>
      <c r="X8" s="246"/>
      <c r="Y8" s="247"/>
      <c r="Z8" s="247"/>
      <c r="AA8" s="247"/>
      <c r="AB8" s="247"/>
      <c r="AC8" s="24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</row>
    <row r="9" spans="1:51" x14ac:dyDescent="0.2">
      <c r="A9" s="192">
        <v>2</v>
      </c>
      <c r="B9" s="193"/>
      <c r="C9" s="193"/>
      <c r="D9" s="278"/>
      <c r="E9" s="195"/>
      <c r="F9" s="221"/>
      <c r="G9" s="221"/>
      <c r="H9" s="282"/>
      <c r="I9" s="282"/>
      <c r="J9" s="282"/>
      <c r="K9" s="283"/>
      <c r="L9" s="283"/>
      <c r="M9" s="284"/>
      <c r="N9" s="187">
        <f t="shared" ref="N9:N12" si="0">E9*F9</f>
        <v>0</v>
      </c>
      <c r="O9" s="187">
        <f t="shared" ref="O9:O12" si="1">E9*G9</f>
        <v>0</v>
      </c>
      <c r="P9" s="187">
        <f>IF('W2'!$C$4='W2'!$D$4,(IF(AND($S$4="Multi",$R$4="FY"),ROUND(((1+$M9)^('W2'!$B$20+1)*'W2'!$E$9+(1+$M9)^('W2'!$B$20+2)*'W2'!$E$10)/12*'Subcontract 2'!$E9*'Subcontract 2'!H9,0),(IF(AND($S$4="Multi",$R$4="PY"),ROUND($E9*H9*((1+$M9)^2)/12*'W2'!$E$5,0),(IF(AND($S$4&lt;&gt;"Multi",$R$4="FY"),ROUND(((1+$S$4)^('W2'!$B$20+1)*'W2'!$E$9+(1+$S$4)^('W2'!$B$20+2)*'W2'!$E$10)/12*'Subcontract 2'!$E9*'Subcontract 2'!H9,0),ROUND($E9*H9*((1+$S$4)^2)/12*'W2'!$E$5,0))))))),(IF(AND($S$4="Multi",$R$4="FY"),ROUND(((1+$M9)^('W2'!$B$20+2)*'W2'!$E$9+(1+$M9)^('W2'!$B$20+3)*'W2'!$E$10)/12*'Subcontract 2'!$E9*'Subcontract 2'!H9,0),(IF(AND($S$4="Multi",$R$4="PY"),ROUND($E9*H9*((1+$M9)^2)/12*'W2'!$E$5,0),(IF(AND($S$4&lt;&gt;"Multi",$R$4="FY"),ROUND(((1+$S$4)^('W2'!$B$20+2)*'W2'!$E$9+(1+$S$4)^('W2'!$B$20+3)*'W2'!$E$10)/12*'Subcontract 2'!$E9*'Subcontract 2'!H9,0),ROUND($E9*H9*((1+$S$4)^2)/12*'W2'!$E$5,0))))))))</f>
        <v>0</v>
      </c>
      <c r="Q9" s="187">
        <f>IF('W2'!$C$4='W2'!$D$4,(IF(AND($S$4="Multi",$R$4="FY"),ROUND(((1+$M9)^('W2'!$B$20+2)*'W2'!$F$9+(1+$M9)^('W2'!$B$20+3)*'W2'!$F$10)/12*'Subcontract 2'!$E9*'Subcontract 2'!$I9,0),(IF(AND($S$4="Multi",$R$4="PY"),ROUND($E9*$I9*((1+$M9)^3)/12*'W2'!$F$5,0),(IF(AND($S$4&lt;&gt;"Multi",$R$4="FY"),ROUND(((1+$S$4)^('W2'!$B$20+2)*'W2'!$F$9+(1+$S$4)^('W2'!$B$20+3)*'W2'!$F$10)/12*'Subcontract 2'!$E9*'Subcontract 2'!$I9,0),ROUND($E9*$I9*((1+$S$4)^3)/12*'W2'!$F$5,0))))))),(IF(AND($S$4="Multi",$R$4="FY"),ROUND(((1+$M9)^('W2'!$B$20+3)*'W2'!$F$9+(1+$M9)^('W2'!$B$20+4)*'W2'!$F$10)/12*'Subcontract 2'!$E9*'Subcontract 2'!$I9,0),(IF(AND($S$4="Multi",$R$4="PY"),ROUND($E9*$I9*((1+$M9)^3)/12*'W2'!$F$5,0),(IF(AND($S$4&lt;&gt;"Multi",$R$4="FY"),ROUND(((1+$S$4)^('W2'!$B$20+3)*'W2'!$F$9+(1+$S$4)^('W2'!$B$20+4)*'W2'!$F$10)/12*'Subcontract 2'!$E9*'Subcontract 2'!$I9,0),ROUND($E9*$I9*((1+$S$4)^3)/12*'W2'!$F$5,0))))))))</f>
        <v>0</v>
      </c>
      <c r="R9" s="187">
        <f>IF('W2'!$C$4='W2'!$D$4,(IF(AND($S$4="Multi",$R$4="FY"),ROUND(((1+$M9)^('W2'!$B$20+3)*'W2'!$G$9+(1+$M9)^('W2'!$B$20+4)*'W2'!$G$10)/12*'Subcontract 2'!$E9*'Subcontract 2'!$J9,0),(IF(AND($S$4="Multi",$R$4="PY"),ROUND($E9*$J9*((1+$M9)^4)/12*'W2'!$G$5,0),(IF(AND($S$4&lt;&gt;"Multi",$R$4="FY"),ROUND(((1+$S$4)^('W2'!$B$20+3)*'W2'!$G$9+(1+$S$4)^('W2'!$B$20+4)*'W2'!$G$10)/12*'Subcontract 2'!$E9*'Subcontract 2'!$J9,0),ROUND($E9*$J9*((1+$S$4)^4)/12*'W2'!$G$5,0))))))),(IF(AND($S$4="Multi",$R$4="FY"),ROUND(((1+$M9)^('W2'!$B$20+4)*'W2'!$G$9+(1+$M9)^('W2'!$B$20+5)*'W2'!$G$10)/12*'Subcontract 2'!$E9*'Subcontract 2'!$J9,0),(IF(AND($S$4="Multi",$R$4="PY"),ROUND($E9*$J9*((1+$M9)^4)/12*'W2'!$G$5,0),(IF(AND($S$4&lt;&gt;"Multi",$R$4="FY"),ROUND(((1+$S$4)^('W2'!$B$20+4)*'W2'!$G$9+(1+$S$4)^('W2'!$B$20+5)*'W2'!$G$10)/12*'Subcontract 2'!$E9*'Subcontract 2'!$J9,0),ROUND($E9*$J9*((1+$S$4)^4)/12*'W2'!$G$5,0))))))))</f>
        <v>0</v>
      </c>
      <c r="S9" s="188">
        <f t="shared" ref="S9:S31" si="2">SUM(N9:R9)</f>
        <v>0</v>
      </c>
      <c r="T9" s="246"/>
      <c r="U9" s="246"/>
      <c r="V9" s="246"/>
      <c r="W9" s="246"/>
      <c r="X9" s="246"/>
      <c r="Y9" s="247"/>
      <c r="Z9" s="247"/>
      <c r="AA9" s="247"/>
      <c r="AB9" s="247"/>
      <c r="AC9" s="24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x14ac:dyDescent="0.2">
      <c r="A10" s="192">
        <v>3</v>
      </c>
      <c r="B10" s="193"/>
      <c r="C10" s="193"/>
      <c r="D10" s="194"/>
      <c r="E10" s="195"/>
      <c r="F10" s="221"/>
      <c r="G10" s="221"/>
      <c r="H10" s="282"/>
      <c r="I10" s="282"/>
      <c r="J10" s="282"/>
      <c r="K10" s="283"/>
      <c r="L10" s="283"/>
      <c r="M10" s="284"/>
      <c r="N10" s="187">
        <f t="shared" si="0"/>
        <v>0</v>
      </c>
      <c r="O10" s="187">
        <f t="shared" si="1"/>
        <v>0</v>
      </c>
      <c r="P10" s="187">
        <f>IF('W2'!$C$4='W2'!$D$4,(IF(AND($S$4="Multi",$R$4="FY"),ROUND(((1+$M10)^('W2'!$B$20+1)*'W2'!$E$9+(1+$M10)^('W2'!$B$20+2)*'W2'!$E$10)/12*'Subcontract 2'!$E10*'Subcontract 2'!H10,0),(IF(AND($S$4="Multi",$R$4="PY"),ROUND($E10*H10*((1+$M10)^2)/12*'W2'!$E$5,0),(IF(AND($S$4&lt;&gt;"Multi",$R$4="FY"),ROUND(((1+$S$4)^('W2'!$B$20+1)*'W2'!$E$9+(1+$S$4)^('W2'!$B$20+2)*'W2'!$E$10)/12*'Subcontract 2'!$E10*'Subcontract 2'!H10,0),ROUND($E10*H10*((1+$S$4)^2)/12*'W2'!$E$5,0))))))),(IF(AND($S$4="Multi",$R$4="FY"),ROUND(((1+$M10)^('W2'!$B$20+2)*'W2'!$E$9+(1+$M10)^('W2'!$B$20+3)*'W2'!$E$10)/12*'Subcontract 2'!$E10*'Subcontract 2'!H10,0),(IF(AND($S$4="Multi",$R$4="PY"),ROUND($E10*H10*((1+$M10)^2)/12*'W2'!$E$5,0),(IF(AND($S$4&lt;&gt;"Multi",$R$4="FY"),ROUND(((1+$S$4)^('W2'!$B$20+2)*'W2'!$E$9+(1+$S$4)^('W2'!$B$20+3)*'W2'!$E$10)/12*'Subcontract 2'!$E10*'Subcontract 2'!H10,0),ROUND($E10*H10*((1+$S$4)^2)/12*'W2'!$E$5,0))))))))</f>
        <v>0</v>
      </c>
      <c r="Q10" s="187">
        <f>IF('W2'!$C$4='W2'!$D$4,(IF(AND($S$4="Multi",$R$4="FY"),ROUND(((1+$M10)^('W2'!$B$20+2)*'W2'!$F$9+(1+$M10)^('W2'!$B$20+3)*'W2'!$F$10)/12*'Subcontract 2'!$E10*'Subcontract 2'!$I10,0),(IF(AND($S$4="Multi",$R$4="PY"),ROUND($E10*$I10*((1+$M10)^3)/12*'W2'!$F$5,0),(IF(AND($S$4&lt;&gt;"Multi",$R$4="FY"),ROUND(((1+$S$4)^('W2'!$B$20+2)*'W2'!$F$9+(1+$S$4)^('W2'!$B$20+3)*'W2'!$F$10)/12*'Subcontract 2'!$E10*'Subcontract 2'!$I10,0),ROUND($E10*$I10*((1+$S$4)^3)/12*'W2'!$F$5,0))))))),(IF(AND($S$4="Multi",$R$4="FY"),ROUND(((1+$M10)^('W2'!$B$20+3)*'W2'!$F$9+(1+$M10)^('W2'!$B$20+4)*'W2'!$F$10)/12*'Subcontract 2'!$E10*'Subcontract 2'!$I10,0),(IF(AND($S$4="Multi",$R$4="PY"),ROUND($E10*$I10*((1+$M10)^3)/12*'W2'!$F$5,0),(IF(AND($S$4&lt;&gt;"Multi",$R$4="FY"),ROUND(((1+$S$4)^('W2'!$B$20+3)*'W2'!$F$9+(1+$S$4)^('W2'!$B$20+4)*'W2'!$F$10)/12*'Subcontract 2'!$E10*'Subcontract 2'!$I10,0),ROUND($E10*$I10*((1+$S$4)^3)/12*'W2'!$F$5,0))))))))</f>
        <v>0</v>
      </c>
      <c r="R10" s="187">
        <f>IF('W2'!$C$4='W2'!$D$4,(IF(AND($S$4="Multi",$R$4="FY"),ROUND(((1+$M10)^('W2'!$B$20+3)*'W2'!$G$9+(1+$M10)^('W2'!$B$20+4)*'W2'!$G$10)/12*'Subcontract 2'!$E10*'Subcontract 2'!$J10,0),(IF(AND($S$4="Multi",$R$4="PY"),ROUND($E10*$J10*((1+$M10)^4)/12*'W2'!$G$5,0),(IF(AND($S$4&lt;&gt;"Multi",$R$4="FY"),ROUND(((1+$S$4)^('W2'!$B$20+3)*'W2'!$G$9+(1+$S$4)^('W2'!$B$20+4)*'W2'!$G$10)/12*'Subcontract 2'!$E10*'Subcontract 2'!$J10,0),ROUND($E10*$J10*((1+$S$4)^4)/12*'W2'!$G$5,0))))))),(IF(AND($S$4="Multi",$R$4="FY"),ROUND(((1+$M10)^('W2'!$B$20+4)*'W2'!$G$9+(1+$M10)^('W2'!$B$20+5)*'W2'!$G$10)/12*'Subcontract 2'!$E10*'Subcontract 2'!$J10,0),(IF(AND($S$4="Multi",$R$4="PY"),ROUND($E10*$J10*((1+$M10)^4)/12*'W2'!$G$5,0),(IF(AND($S$4&lt;&gt;"Multi",$R$4="FY"),ROUND(((1+$S$4)^('W2'!$B$20+4)*'W2'!$G$9+(1+$S$4)^('W2'!$B$20+5)*'W2'!$G$10)/12*'Subcontract 2'!$E10*'Subcontract 2'!$J10,0),ROUND($E10*$J10*((1+$S$4)^4)/12*'W2'!$G$5,0))))))))</f>
        <v>0</v>
      </c>
      <c r="S10" s="188">
        <f t="shared" si="2"/>
        <v>0</v>
      </c>
      <c r="T10" s="246"/>
      <c r="U10" s="246"/>
      <c r="V10" s="246"/>
      <c r="W10" s="246"/>
      <c r="X10" s="246"/>
      <c r="Y10" s="247"/>
      <c r="Z10" s="247"/>
      <c r="AA10" s="247"/>
      <c r="AB10" s="247"/>
      <c r="AC10" s="24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x14ac:dyDescent="0.2">
      <c r="A11" s="192">
        <v>4</v>
      </c>
      <c r="B11" s="193"/>
      <c r="C11" s="193"/>
      <c r="D11" s="194"/>
      <c r="E11" s="195"/>
      <c r="F11" s="221"/>
      <c r="G11" s="221"/>
      <c r="H11" s="282"/>
      <c r="I11" s="282"/>
      <c r="J11" s="282"/>
      <c r="K11" s="283"/>
      <c r="L11" s="283"/>
      <c r="M11" s="284"/>
      <c r="N11" s="187">
        <f t="shared" si="0"/>
        <v>0</v>
      </c>
      <c r="O11" s="187">
        <f t="shared" si="1"/>
        <v>0</v>
      </c>
      <c r="P11" s="187">
        <f>IF('W2'!$C$4='W2'!$D$4,(IF(AND($S$4="Multi",$R$4="FY"),ROUND(((1+$M11)^('W2'!$B$20+1)*'W2'!$E$9+(1+$M11)^('W2'!$B$20+2)*'W2'!$E$10)/12*'Subcontract 2'!$E11*'Subcontract 2'!H11,0),(IF(AND($S$4="Multi",$R$4="PY"),ROUND($E11*H11*((1+$M11)^2)/12*'W2'!$E$5,0),(IF(AND($S$4&lt;&gt;"Multi",$R$4="FY"),ROUND(((1+$S$4)^('W2'!$B$20+1)*'W2'!$E$9+(1+$S$4)^('W2'!$B$20+2)*'W2'!$E$10)/12*'Subcontract 2'!$E11*'Subcontract 2'!H11,0),ROUND($E11*H11*((1+$S$4)^2)/12*'W2'!$E$5,0))))))),(IF(AND($S$4="Multi",$R$4="FY"),ROUND(((1+$M11)^('W2'!$B$20+2)*'W2'!$E$9+(1+$M11)^('W2'!$B$20+3)*'W2'!$E$10)/12*'Subcontract 2'!$E11*'Subcontract 2'!H11,0),(IF(AND($S$4="Multi",$R$4="PY"),ROUND($E11*H11*((1+$M11)^2)/12*'W2'!$E$5,0),(IF(AND($S$4&lt;&gt;"Multi",$R$4="FY"),ROUND(((1+$S$4)^('W2'!$B$20+2)*'W2'!$E$9+(1+$S$4)^('W2'!$B$20+3)*'W2'!$E$10)/12*'Subcontract 2'!$E11*'Subcontract 2'!H11,0),ROUND($E11*H11*((1+$S$4)^2)/12*'W2'!$E$5,0))))))))</f>
        <v>0</v>
      </c>
      <c r="Q11" s="187">
        <f>IF('W2'!$C$4='W2'!$D$4,(IF(AND($S$4="Multi",$R$4="FY"),ROUND(((1+$M11)^('W2'!$B$20+2)*'W2'!$F$9+(1+$M11)^('W2'!$B$20+3)*'W2'!$F$10)/12*'Subcontract 2'!$E11*'Subcontract 2'!$I11,0),(IF(AND($S$4="Multi",$R$4="PY"),ROUND($E11*$I11*((1+$M11)^3)/12*'W2'!$F$5,0),(IF(AND($S$4&lt;&gt;"Multi",$R$4="FY"),ROUND(((1+$S$4)^('W2'!$B$20+2)*'W2'!$F$9+(1+$S$4)^('W2'!$B$20+3)*'W2'!$F$10)/12*'Subcontract 2'!$E11*'Subcontract 2'!$I11,0),ROUND($E11*$I11*((1+$S$4)^3)/12*'W2'!$F$5,0))))))),(IF(AND($S$4="Multi",$R$4="FY"),ROUND(((1+$M11)^('W2'!$B$20+3)*'W2'!$F$9+(1+$M11)^('W2'!$B$20+4)*'W2'!$F$10)/12*'Subcontract 2'!$E11*'Subcontract 2'!$I11,0),(IF(AND($S$4="Multi",$R$4="PY"),ROUND($E11*$I11*((1+$M11)^3)/12*'W2'!$F$5,0),(IF(AND($S$4&lt;&gt;"Multi",$R$4="FY"),ROUND(((1+$S$4)^('W2'!$B$20+3)*'W2'!$F$9+(1+$S$4)^('W2'!$B$20+4)*'W2'!$F$10)/12*'Subcontract 2'!$E11*'Subcontract 2'!$I11,0),ROUND($E11*$I11*((1+$S$4)^3)/12*'W2'!$F$5,0))))))))</f>
        <v>0</v>
      </c>
      <c r="R11" s="187">
        <f>IF('W2'!$C$4='W2'!$D$4,(IF(AND($S$4="Multi",$R$4="FY"),ROUND(((1+$M11)^('W2'!$B$20+3)*'W2'!$G$9+(1+$M11)^('W2'!$B$20+4)*'W2'!$G$10)/12*'Subcontract 2'!$E11*'Subcontract 2'!$J11,0),(IF(AND($S$4="Multi",$R$4="PY"),ROUND($E11*$J11*((1+$M11)^4)/12*'W2'!$G$5,0),(IF(AND($S$4&lt;&gt;"Multi",$R$4="FY"),ROUND(((1+$S$4)^('W2'!$B$20+3)*'W2'!$G$9+(1+$S$4)^('W2'!$B$20+4)*'W2'!$G$10)/12*'Subcontract 2'!$E11*'Subcontract 2'!$J11,0),ROUND($E11*$J11*((1+$S$4)^4)/12*'W2'!$G$5,0))))))),(IF(AND($S$4="Multi",$R$4="FY"),ROUND(((1+$M11)^('W2'!$B$20+4)*'W2'!$G$9+(1+$M11)^('W2'!$B$20+5)*'W2'!$G$10)/12*'Subcontract 2'!$E11*'Subcontract 2'!$J11,0),(IF(AND($S$4="Multi",$R$4="PY"),ROUND($E11*$J11*((1+$M11)^4)/12*'W2'!$G$5,0),(IF(AND($S$4&lt;&gt;"Multi",$R$4="FY"),ROUND(((1+$S$4)^('W2'!$B$20+4)*'W2'!$G$9+(1+$S$4)^('W2'!$B$20+5)*'W2'!$G$10)/12*'Subcontract 2'!$E11*'Subcontract 2'!$J11,0),ROUND($E11*$J11*((1+$S$4)^4)/12*'W2'!$G$5,0))))))))</f>
        <v>0</v>
      </c>
      <c r="S11" s="188">
        <f t="shared" si="2"/>
        <v>0</v>
      </c>
      <c r="T11" s="246"/>
      <c r="U11" s="246"/>
      <c r="V11" s="246"/>
      <c r="W11" s="246"/>
      <c r="X11" s="246"/>
      <c r="Y11" s="247"/>
      <c r="Z11" s="247"/>
      <c r="AA11" s="247"/>
      <c r="AB11" s="247"/>
      <c r="AC11" s="24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x14ac:dyDescent="0.2">
      <c r="A12" s="192">
        <v>5</v>
      </c>
      <c r="B12" s="193"/>
      <c r="C12" s="193"/>
      <c r="D12" s="194"/>
      <c r="E12" s="195"/>
      <c r="F12" s="221"/>
      <c r="G12" s="221"/>
      <c r="H12" s="282"/>
      <c r="I12" s="282"/>
      <c r="J12" s="282"/>
      <c r="K12" s="283"/>
      <c r="L12" s="283"/>
      <c r="M12" s="284"/>
      <c r="N12" s="187">
        <f t="shared" si="0"/>
        <v>0</v>
      </c>
      <c r="O12" s="187">
        <f t="shared" si="1"/>
        <v>0</v>
      </c>
      <c r="P12" s="187">
        <f>IF('W2'!$C$4='W2'!$D$4,(IF(AND($S$4="Multi",$R$4="FY"),ROUND(((1+$M12)^('W2'!$B$20+1)*'W2'!$E$9+(1+$M12)^('W2'!$B$20+2)*'W2'!$E$10)/12*'Subcontract 2'!$E12*'Subcontract 2'!H12,0),(IF(AND($S$4="Multi",$R$4="PY"),ROUND($E12*H12*((1+$M12)^2)/12*'W2'!$E$5,0),(IF(AND($S$4&lt;&gt;"Multi",$R$4="FY"),ROUND(((1+$S$4)^('W2'!$B$20+1)*'W2'!$E$9+(1+$S$4)^('W2'!$B$20+2)*'W2'!$E$10)/12*'Subcontract 2'!$E12*'Subcontract 2'!H12,0),ROUND($E12*H12*((1+$S$4)^2)/12*'W2'!$E$5,0))))))),(IF(AND($S$4="Multi",$R$4="FY"),ROUND(((1+$M12)^('W2'!$B$20+2)*'W2'!$E$9+(1+$M12)^('W2'!$B$20+3)*'W2'!$E$10)/12*'Subcontract 2'!$E12*'Subcontract 2'!H12,0),(IF(AND($S$4="Multi",$R$4="PY"),ROUND($E12*H12*((1+$M12)^2)/12*'W2'!$E$5,0),(IF(AND($S$4&lt;&gt;"Multi",$R$4="FY"),ROUND(((1+$S$4)^('W2'!$B$20+2)*'W2'!$E$9+(1+$S$4)^('W2'!$B$20+3)*'W2'!$E$10)/12*'Subcontract 2'!$E12*'Subcontract 2'!H12,0),ROUND($E12*H12*((1+$S$4)^2)/12*'W2'!$E$5,0))))))))</f>
        <v>0</v>
      </c>
      <c r="Q12" s="187">
        <f>IF('W2'!$C$4='W2'!$D$4,(IF(AND($S$4="Multi",$R$4="FY"),ROUND(((1+$M12)^('W2'!$B$20+2)*'W2'!$F$9+(1+$M12)^('W2'!$B$20+3)*'W2'!$F$10)/12*'Subcontract 2'!$E12*'Subcontract 2'!$I12,0),(IF(AND($S$4="Multi",$R$4="PY"),ROUND($E12*$I12*((1+$M12)^3)/12*'W2'!$F$5,0),(IF(AND($S$4&lt;&gt;"Multi",$R$4="FY"),ROUND(((1+$S$4)^('W2'!$B$20+2)*'W2'!$F$9+(1+$S$4)^('W2'!$B$20+3)*'W2'!$F$10)/12*'Subcontract 2'!$E12*'Subcontract 2'!$I12,0),ROUND($E12*$I12*((1+$S$4)^3)/12*'W2'!$F$5,0))))))),(IF(AND($S$4="Multi",$R$4="FY"),ROUND(((1+$M12)^('W2'!$B$20+3)*'W2'!$F$9+(1+$M12)^('W2'!$B$20+4)*'W2'!$F$10)/12*'Subcontract 2'!$E12*'Subcontract 2'!$I12,0),(IF(AND($S$4="Multi",$R$4="PY"),ROUND($E12*$I12*((1+$M12)^3)/12*'W2'!$F$5,0),(IF(AND($S$4&lt;&gt;"Multi",$R$4="FY"),ROUND(((1+$S$4)^('W2'!$B$20+3)*'W2'!$F$9+(1+$S$4)^('W2'!$B$20+4)*'W2'!$F$10)/12*'Subcontract 2'!$E12*'Subcontract 2'!$I12,0),ROUND($E12*$I12*((1+$S$4)^3)/12*'W2'!$F$5,0))))))))</f>
        <v>0</v>
      </c>
      <c r="R12" s="187">
        <f>IF('W2'!$C$4='W2'!$D$4,(IF(AND($S$4="Multi",$R$4="FY"),ROUND(((1+$M12)^('W2'!$B$20+3)*'W2'!$G$9+(1+$M12)^('W2'!$B$20+4)*'W2'!$G$10)/12*'Subcontract 2'!$E12*'Subcontract 2'!$J12,0),(IF(AND($S$4="Multi",$R$4="PY"),ROUND($E12*$J12*((1+$M12)^4)/12*'W2'!$G$5,0),(IF(AND($S$4&lt;&gt;"Multi",$R$4="FY"),ROUND(((1+$S$4)^('W2'!$B$20+3)*'W2'!$G$9+(1+$S$4)^('W2'!$B$20+4)*'W2'!$G$10)/12*'Subcontract 2'!$E12*'Subcontract 2'!$J12,0),ROUND($E12*$J12*((1+$S$4)^4)/12*'W2'!$G$5,0))))))),(IF(AND($S$4="Multi",$R$4="FY"),ROUND(((1+$M12)^('W2'!$B$20+4)*'W2'!$G$9+(1+$M12)^('W2'!$B$20+5)*'W2'!$G$10)/12*'Subcontract 2'!$E12*'Subcontract 2'!$J12,0),(IF(AND($S$4="Multi",$R$4="PY"),ROUND($E12*$J12*((1+$M12)^4)/12*'W2'!$G$5,0),(IF(AND($S$4&lt;&gt;"Multi",$R$4="FY"),ROUND(((1+$S$4)^('W2'!$B$20+4)*'W2'!$G$9+(1+$S$4)^('W2'!$B$20+5)*'W2'!$G$10)/12*'Subcontract 2'!$E12*'Subcontract 2'!$J12,0),ROUND($E12*$J12*((1+$S$4)^4)/12*'W2'!$G$5,0))))))))</f>
        <v>0</v>
      </c>
      <c r="S12" s="188">
        <f t="shared" si="2"/>
        <v>0</v>
      </c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hidden="1" x14ac:dyDescent="0.2">
      <c r="A13" s="192">
        <v>6</v>
      </c>
      <c r="B13" s="193"/>
      <c r="C13" s="193"/>
      <c r="D13" s="194"/>
      <c r="E13" s="195"/>
      <c r="F13" s="221"/>
      <c r="G13" s="221"/>
      <c r="H13" s="221"/>
      <c r="I13" s="221"/>
      <c r="J13" s="221"/>
      <c r="K13" s="190" t="s">
        <v>176</v>
      </c>
      <c r="L13" s="190">
        <v>12</v>
      </c>
      <c r="M13" s="191">
        <v>0.03</v>
      </c>
      <c r="N13" s="187">
        <f>IF(AND($S$4="Multi",$R$4="FY"),ROUND(((1+$M13)^'W2'!$B$20*'W2'!$C$9+(1+$M13)^('W2'!$B$20+1)*'W2'!$C$10)/12*'Subcontract 2'!$E13*'Subcontract 2'!$F13,0),(IF(AND($S$4="Multi",$R$4="PY"),ROUND(E13*F13/12*'W2'!$C$5,0),(IF(AND($S$4&lt;&gt;"Multi",$R$4="FY"),ROUND(((1+$S$4)^'W2'!$B$20*'W2'!$C$9+(1+$S$4)^('W2'!$B$20+1)*'W2'!$C$10)/12*'Subcontract 2'!$E13*'Subcontract 2'!$F13,0),ROUND($E13*$F13/12*'W2'!$C$5,0))))))</f>
        <v>0</v>
      </c>
      <c r="O13" s="187">
        <f>IF('W2'!$C$4='W2'!$D$4,(IF(AND($S$4="Multi",$R$4="FY"),ROUND(((1+$M13)^('W2'!$B$20)*'W2'!$D$9+(1+$M13)^('W2'!$B$20+1)*'W2'!$D$10)/12*'Subcontract 2'!$E13*'Subcontract 2'!$G13,0),(IF(AND($S$4="Multi",$R$4="PY"),ROUND($E13*$G13*(1+M13)/12*'W2'!$D$5,0),(IF(AND($S$4&lt;&gt;"Multi",$R$4="FY"),ROUND(((1+$S$4)^('W2'!$B$20)*'W2'!$D$9+(1+$S$4)^('W2'!$B$20+1)*'W2'!$D$10)/12*'Subcontract 2'!$E13*'Subcontract 2'!$G13,0),ROUND($E13*$G13*(1+$S$4)/12*'W2'!$D$5,0))))))),(IF(AND($S$4="Multi",$R$4="FY"),ROUND(((1+$M13)^('W2'!$B$20+1)*'W2'!$D$9+(1+$M13)^('W2'!$B$20+2)*'W2'!$D$10)/12*'Subcontract 2'!$E13*'Subcontract 2'!$G13,0),(IF(AND($S$4="Multi",$R$4="PY"),ROUND($E13*$G13*(1+M13)/12*'W2'!$D$5,0),(IF(AND($S$4&lt;&gt;"Multi",$R$4="FY"),ROUND(((1+$S$4)^('W2'!$B$20+1)*'W2'!$D$9+(1+$S$4)^('W2'!$B$20+2)*'W2'!$D$10)/12*'Subcontract 2'!$E13*'Subcontract 2'!$G13,0),ROUND($E13*$G13*(1+$S$4)/12*'W2'!$D$5,0))))))))</f>
        <v>0</v>
      </c>
      <c r="P13" s="187">
        <f>IF('W2'!$C$4='W2'!$D$4,(IF(AND($S$4="Multi",$R$4="FY"),ROUND(((1+$M13)^('W2'!$B$20+1)*'W2'!$E$9+(1+$M13)^('W2'!$B$20+2)*'W2'!$E$10)/12*'Subcontract 2'!$E13*'Subcontract 2'!H13,0),(IF(AND($S$4="Multi",$R$4="PY"),ROUND($E13*H13*((1+$M13)^2)/12*'W2'!$E$5,0),(IF(AND($S$4&lt;&gt;"Multi",$R$4="FY"),ROUND(((1+$S$4)^('W2'!$B$20+1)*'W2'!$E$9+(1+$S$4)^('W2'!$B$20+2)*'W2'!$E$10)/12*'Subcontract 2'!$E13*'Subcontract 2'!H13,0),ROUND($E13*H13*((1+$S$4)^2)/12*'W2'!$E$5,0))))))),(IF(AND($S$4="Multi",$R$4="FY"),ROUND(((1+$M13)^('W2'!$B$20+2)*'W2'!$E$9+(1+$M13)^('W2'!$B$20+3)*'W2'!$E$10)/12*'Subcontract 2'!$E13*'Subcontract 2'!H13,0),(IF(AND($S$4="Multi",$R$4="PY"),ROUND($E13*H13*((1+$M13)^2)/12*'W2'!$E$5,0),(IF(AND($S$4&lt;&gt;"Multi",$R$4="FY"),ROUND(((1+$S$4)^('W2'!$B$20+2)*'W2'!$E$9+(1+$S$4)^('W2'!$B$20+3)*'W2'!$E$10)/12*'Subcontract 2'!$E13*'Subcontract 2'!H13,0),ROUND($E13*H13*((1+$S$4)^2)/12*'W2'!$E$5,0))))))))</f>
        <v>0</v>
      </c>
      <c r="Q13" s="187">
        <f>IF('W2'!$C$4='W2'!$D$4,(IF(AND($S$4="Multi",$R$4="FY"),ROUND(((1+$M13)^('W2'!$B$20+2)*'W2'!$F$9+(1+$M13)^('W2'!$B$20+3)*'W2'!$F$10)/12*'Subcontract 2'!$E13*'Subcontract 2'!$I13,0),(IF(AND($S$4="Multi",$R$4="PY"),ROUND($E13*$I13*((1+$M13)^3)/12*'W2'!$F$5,0),(IF(AND($S$4&lt;&gt;"Multi",$R$4="FY"),ROUND(((1+$S$4)^('W2'!$B$20+2)*'W2'!$F$9+(1+$S$4)^('W2'!$B$20+3)*'W2'!$F$10)/12*'Subcontract 2'!$E13*'Subcontract 2'!$I13,0),ROUND($E13*$I13*((1+$S$4)^3)/12*'W2'!$F$5,0))))))),(IF(AND($S$4="Multi",$R$4="FY"),ROUND(((1+$M13)^('W2'!$B$20+3)*'W2'!$F$9+(1+$M13)^('W2'!$B$20+4)*'W2'!$F$10)/12*'Subcontract 2'!$E13*'Subcontract 2'!$I13,0),(IF(AND($S$4="Multi",$R$4="PY"),ROUND($E13*$I13*((1+$M13)^3)/12*'W2'!$F$5,0),(IF(AND($S$4&lt;&gt;"Multi",$R$4="FY"),ROUND(((1+$S$4)^('W2'!$B$20+3)*'W2'!$F$9+(1+$S$4)^('W2'!$B$20+4)*'W2'!$F$10)/12*'Subcontract 2'!$E13*'Subcontract 2'!$I13,0),ROUND($E13*$I13*((1+$S$4)^3)/12*'W2'!$F$5,0))))))))</f>
        <v>0</v>
      </c>
      <c r="R13" s="187">
        <f>IF('W2'!$C$4='W2'!$D$4,(IF(AND($S$4="Multi",$R$4="FY"),ROUND(((1+$M13)^('W2'!$B$20+3)*'W2'!$G$9+(1+$M13)^('W2'!$B$20+4)*'W2'!$G$10)/12*'Subcontract 2'!$E13*'Subcontract 2'!$J13,0),(IF(AND($S$4="Multi",$R$4="PY"),ROUND($E13*$J13*((1+$M13)^4)/12*'W2'!$G$5,0),(IF(AND($S$4&lt;&gt;"Multi",$R$4="FY"),ROUND(((1+$S$4)^('W2'!$B$20+3)*'W2'!$G$9+(1+$S$4)^('W2'!$B$20+4)*'W2'!$G$10)/12*'Subcontract 2'!$E13*'Subcontract 2'!$J13,0),ROUND($E13*$J13*((1+$S$4)^4)/12*'W2'!$G$5,0))))))),(IF(AND($S$4="Multi",$R$4="FY"),ROUND(((1+$M13)^('W2'!$B$20+4)*'W2'!$G$9+(1+$M13)^('W2'!$B$20+5)*'W2'!$G$10)/12*'Subcontract 2'!$E13*'Subcontract 2'!$J13,0),(IF(AND($S$4="Multi",$R$4="PY"),ROUND($E13*$J13*((1+$M13)^4)/12*'W2'!$G$5,0),(IF(AND($S$4&lt;&gt;"Multi",$R$4="FY"),ROUND(((1+$S$4)^('W2'!$B$20+4)*'W2'!$G$9+(1+$S$4)^('W2'!$B$20+5)*'W2'!$G$10)/12*'Subcontract 2'!$E13*'Subcontract 2'!$J13,0),ROUND($E13*$J13*((1+$S$4)^4)/12*'W2'!$G$5,0))))))))</f>
        <v>0</v>
      </c>
      <c r="S13" s="188">
        <f t="shared" si="2"/>
        <v>0</v>
      </c>
      <c r="T13" s="246"/>
      <c r="U13" s="246"/>
      <c r="V13" s="246"/>
      <c r="W13" s="246"/>
      <c r="X13" s="246"/>
      <c r="Y13" s="247"/>
      <c r="Z13" s="247"/>
      <c r="AA13" s="247"/>
      <c r="AB13" s="247"/>
      <c r="AC13" s="24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hidden="1" x14ac:dyDescent="0.2">
      <c r="A14" s="192">
        <v>7</v>
      </c>
      <c r="B14" s="193"/>
      <c r="C14" s="193"/>
      <c r="D14" s="194"/>
      <c r="E14" s="195"/>
      <c r="F14" s="221"/>
      <c r="G14" s="221"/>
      <c r="H14" s="221"/>
      <c r="I14" s="221"/>
      <c r="J14" s="221"/>
      <c r="K14" s="190" t="s">
        <v>176</v>
      </c>
      <c r="L14" s="190">
        <v>12</v>
      </c>
      <c r="M14" s="191">
        <v>0.03</v>
      </c>
      <c r="N14" s="187">
        <f>IF(AND($S$4="Multi",$R$4="FY"),ROUND(((1+$M14)^'W2'!$B$20*'W2'!$C$9+(1+$M14)^('W2'!$B$20+1)*'W2'!$C$10)/12*'Subcontract 2'!$E14*'Subcontract 2'!$F14,0),(IF(AND($S$4="Multi",$R$4="PY"),ROUND(E14*F14/12*'W2'!$C$5,0),(IF(AND($S$4&lt;&gt;"Multi",$R$4="FY"),ROUND(((1+$S$4)^'W2'!$B$20*'W2'!$C$9+(1+$S$4)^('W2'!$B$20+1)*'W2'!$C$10)/12*'Subcontract 2'!$E14*'Subcontract 2'!$F14,0),ROUND($E14*$F14/12*'W2'!$C$5,0))))))</f>
        <v>0</v>
      </c>
      <c r="O14" s="187">
        <f>IF('W2'!$C$4='W2'!$D$4,(IF(AND($S$4="Multi",$R$4="FY"),ROUND(((1+$M14)^('W2'!$B$20)*'W2'!$D$9+(1+$M14)^('W2'!$B$20+1)*'W2'!$D$10)/12*'Subcontract 2'!$E14*'Subcontract 2'!$G14,0),(IF(AND($S$4="Multi",$R$4="PY"),ROUND($E14*$G14*(1+M14)/12*'W2'!$D$5,0),(IF(AND($S$4&lt;&gt;"Multi",$R$4="FY"),ROUND(((1+$S$4)^('W2'!$B$20)*'W2'!$D$9+(1+$S$4)^('W2'!$B$20+1)*'W2'!$D$10)/12*'Subcontract 2'!$E14*'Subcontract 2'!$G14,0),ROUND($E14*$G14*(1+$S$4)/12*'W2'!$D$5,0))))))),(IF(AND($S$4="Multi",$R$4="FY"),ROUND(((1+$M14)^('W2'!$B$20+1)*'W2'!$D$9+(1+$M14)^('W2'!$B$20+2)*'W2'!$D$10)/12*'Subcontract 2'!$E14*'Subcontract 2'!$G14,0),(IF(AND($S$4="Multi",$R$4="PY"),ROUND($E14*$G14*(1+M14)/12*'W2'!$D$5,0),(IF(AND($S$4&lt;&gt;"Multi",$R$4="FY"),ROUND(((1+$S$4)^('W2'!$B$20+1)*'W2'!$D$9+(1+$S$4)^('W2'!$B$20+2)*'W2'!$D$10)/12*'Subcontract 2'!$E14*'Subcontract 2'!$G14,0),ROUND($E14*$G14*(1+$S$4)/12*'W2'!$D$5,0))))))))</f>
        <v>0</v>
      </c>
      <c r="P14" s="187">
        <f>IF('W2'!$C$4='W2'!$D$4,(IF(AND($S$4="Multi",$R$4="FY"),ROUND(((1+$M14)^('W2'!$B$20+1)*'W2'!$E$9+(1+$M14)^('W2'!$B$20+2)*'W2'!$E$10)/12*'Subcontract 2'!$E14*'Subcontract 2'!H14,0),(IF(AND($S$4="Multi",$R$4="PY"),ROUND($E14*H14*((1+$M14)^2)/12*'W2'!$E$5,0),(IF(AND($S$4&lt;&gt;"Multi",$R$4="FY"),ROUND(((1+$S$4)^('W2'!$B$20+1)*'W2'!$E$9+(1+$S$4)^('W2'!$B$20+2)*'W2'!$E$10)/12*'Subcontract 2'!$E14*'Subcontract 2'!H14,0),ROUND($E14*H14*((1+$S$4)^2)/12*'W2'!$E$5,0))))))),(IF(AND($S$4="Multi",$R$4="FY"),ROUND(((1+$M14)^('W2'!$B$20+2)*'W2'!$E$9+(1+$M14)^('W2'!$B$20+3)*'W2'!$E$10)/12*'Subcontract 2'!$E14*'Subcontract 2'!H14,0),(IF(AND($S$4="Multi",$R$4="PY"),ROUND($E14*H14*((1+$M14)^2)/12*'W2'!$E$5,0),(IF(AND($S$4&lt;&gt;"Multi",$R$4="FY"),ROUND(((1+$S$4)^('W2'!$B$20+2)*'W2'!$E$9+(1+$S$4)^('W2'!$B$20+3)*'W2'!$E$10)/12*'Subcontract 2'!$E14*'Subcontract 2'!H14,0),ROUND($E14*H14*((1+$S$4)^2)/12*'W2'!$E$5,0))))))))</f>
        <v>0</v>
      </c>
      <c r="Q14" s="187">
        <f>IF('W2'!$C$4='W2'!$D$4,(IF(AND($S$4="Multi",$R$4="FY"),ROUND(((1+$M14)^('W2'!$B$20+2)*'W2'!$F$9+(1+$M14)^('W2'!$B$20+3)*'W2'!$F$10)/12*'Subcontract 2'!$E14*'Subcontract 2'!$I14,0),(IF(AND($S$4="Multi",$R$4="PY"),ROUND($E14*$I14*((1+$M14)^3)/12*'W2'!$F$5,0),(IF(AND($S$4&lt;&gt;"Multi",$R$4="FY"),ROUND(((1+$S$4)^('W2'!$B$20+2)*'W2'!$F$9+(1+$S$4)^('W2'!$B$20+3)*'W2'!$F$10)/12*'Subcontract 2'!$E14*'Subcontract 2'!$I14,0),ROUND($E14*$I14*((1+$S$4)^3)/12*'W2'!$F$5,0))))))),(IF(AND($S$4="Multi",$R$4="FY"),ROUND(((1+$M14)^('W2'!$B$20+3)*'W2'!$F$9+(1+$M14)^('W2'!$B$20+4)*'W2'!$F$10)/12*'Subcontract 2'!$E14*'Subcontract 2'!$I14,0),(IF(AND($S$4="Multi",$R$4="PY"),ROUND($E14*$I14*((1+$M14)^3)/12*'W2'!$F$5,0),(IF(AND($S$4&lt;&gt;"Multi",$R$4="FY"),ROUND(((1+$S$4)^('W2'!$B$20+3)*'W2'!$F$9+(1+$S$4)^('W2'!$B$20+4)*'W2'!$F$10)/12*'Subcontract 2'!$E14*'Subcontract 2'!$I14,0),ROUND($E14*$I14*((1+$S$4)^3)/12*'W2'!$F$5,0))))))))</f>
        <v>0</v>
      </c>
      <c r="R14" s="187">
        <f>IF('W2'!$C$4='W2'!$D$4,(IF(AND($S$4="Multi",$R$4="FY"),ROUND(((1+$M14)^('W2'!$B$20+3)*'W2'!$G$9+(1+$M14)^('W2'!$B$20+4)*'W2'!$G$10)/12*'Subcontract 2'!$E14*'Subcontract 2'!$J14,0),(IF(AND($S$4="Multi",$R$4="PY"),ROUND($E14*$J14*((1+$M14)^4)/12*'W2'!$G$5,0),(IF(AND($S$4&lt;&gt;"Multi",$R$4="FY"),ROUND(((1+$S$4)^('W2'!$B$20+3)*'W2'!$G$9+(1+$S$4)^('W2'!$B$20+4)*'W2'!$G$10)/12*'Subcontract 2'!$E14*'Subcontract 2'!$J14,0),ROUND($E14*$J14*((1+$S$4)^4)/12*'W2'!$G$5,0))))))),(IF(AND($S$4="Multi",$R$4="FY"),ROUND(((1+$M14)^('W2'!$B$20+4)*'W2'!$G$9+(1+$M14)^('W2'!$B$20+5)*'W2'!$G$10)/12*'Subcontract 2'!$E14*'Subcontract 2'!$J14,0),(IF(AND($S$4="Multi",$R$4="PY"),ROUND($E14*$J14*((1+$M14)^4)/12*'W2'!$G$5,0),(IF(AND($S$4&lt;&gt;"Multi",$R$4="FY"),ROUND(((1+$S$4)^('W2'!$B$20+4)*'W2'!$G$9+(1+$S$4)^('W2'!$B$20+5)*'W2'!$G$10)/12*'Subcontract 2'!$E14*'Subcontract 2'!$J14,0),ROUND($E14*$J14*((1+$S$4)^4)/12*'W2'!$G$5,0))))))))</f>
        <v>0</v>
      </c>
      <c r="S14" s="188">
        <f t="shared" si="2"/>
        <v>0</v>
      </c>
      <c r="T14" s="246"/>
      <c r="U14" s="246"/>
      <c r="V14" s="246"/>
      <c r="W14" s="246"/>
      <c r="X14" s="246"/>
      <c r="Y14" s="247"/>
      <c r="Z14" s="247"/>
      <c r="AA14" s="247"/>
      <c r="AB14" s="247"/>
      <c r="AC14" s="24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idden="1" x14ac:dyDescent="0.2">
      <c r="A15" s="192">
        <v>8</v>
      </c>
      <c r="B15" s="193"/>
      <c r="C15" s="193"/>
      <c r="D15" s="194"/>
      <c r="E15" s="195"/>
      <c r="F15" s="221"/>
      <c r="G15" s="221"/>
      <c r="H15" s="221"/>
      <c r="I15" s="221"/>
      <c r="J15" s="221"/>
      <c r="K15" s="190" t="s">
        <v>176</v>
      </c>
      <c r="L15" s="190">
        <v>12</v>
      </c>
      <c r="M15" s="191">
        <v>0.03</v>
      </c>
      <c r="N15" s="187">
        <f>IF(AND($S$4="Multi",$R$4="FY"),ROUND(((1+$M15)^'W2'!$B$20*'W2'!$C$9+(1+$M15)^('W2'!$B$20+1)*'W2'!$C$10)/12*'Subcontract 2'!$E15*'Subcontract 2'!$F15,0),(IF(AND($S$4="Multi",$R$4="PY"),ROUND(E15*F15/12*'W2'!$C$5,0),(IF(AND($S$4&lt;&gt;"Multi",$R$4="FY"),ROUND(((1+$S$4)^'W2'!$B$20*'W2'!$C$9+(1+$S$4)^('W2'!$B$20+1)*'W2'!$C$10)/12*'Subcontract 2'!$E15*'Subcontract 2'!$F15,0),ROUND($E15*$F15/12*'W2'!$C$5,0))))))</f>
        <v>0</v>
      </c>
      <c r="O15" s="187">
        <f>IF('W2'!$C$4='W2'!$D$4,(IF(AND($S$4="Multi",$R$4="FY"),ROUND(((1+$M15)^('W2'!$B$20)*'W2'!$D$9+(1+$M15)^('W2'!$B$20+1)*'W2'!$D$10)/12*'Subcontract 2'!$E15*'Subcontract 2'!$G15,0),(IF(AND($S$4="Multi",$R$4="PY"),ROUND($E15*$G15*(1+M15)/12*'W2'!$D$5,0),(IF(AND($S$4&lt;&gt;"Multi",$R$4="FY"),ROUND(((1+$S$4)^('W2'!$B$20)*'W2'!$D$9+(1+$S$4)^('W2'!$B$20+1)*'W2'!$D$10)/12*'Subcontract 2'!$E15*'Subcontract 2'!$G15,0),ROUND($E15*$G15*(1+$S$4)/12*'W2'!$D$5,0))))))),(IF(AND($S$4="Multi",$R$4="FY"),ROUND(((1+$M15)^('W2'!$B$20+1)*'W2'!$D$9+(1+$M15)^('W2'!$B$20+2)*'W2'!$D$10)/12*'Subcontract 2'!$E15*'Subcontract 2'!$G15,0),(IF(AND($S$4="Multi",$R$4="PY"),ROUND($E15*$G15*(1+M15)/12*'W2'!$D$5,0),(IF(AND($S$4&lt;&gt;"Multi",$R$4="FY"),ROUND(((1+$S$4)^('W2'!$B$20+1)*'W2'!$D$9+(1+$S$4)^('W2'!$B$20+2)*'W2'!$D$10)/12*'Subcontract 2'!$E15*'Subcontract 2'!$G15,0),ROUND($E15*$G15*(1+$S$4)/12*'W2'!$D$5,0))))))))</f>
        <v>0</v>
      </c>
      <c r="P15" s="187">
        <f>IF('W2'!$C$4='W2'!$D$4,(IF(AND($S$4="Multi",$R$4="FY"),ROUND(((1+$M15)^('W2'!$B$20+1)*'W2'!$E$9+(1+$M15)^('W2'!$B$20+2)*'W2'!$E$10)/12*'Subcontract 2'!$E15*'Subcontract 2'!H15,0),(IF(AND($S$4="Multi",$R$4="PY"),ROUND($E15*H15*((1+$M15)^2)/12*'W2'!$E$5,0),(IF(AND($S$4&lt;&gt;"Multi",$R$4="FY"),ROUND(((1+$S$4)^('W2'!$B$20+1)*'W2'!$E$9+(1+$S$4)^('W2'!$B$20+2)*'W2'!$E$10)/12*'Subcontract 2'!$E15*'Subcontract 2'!H15,0),ROUND($E15*H15*((1+$S$4)^2)/12*'W2'!$E$5,0))))))),(IF(AND($S$4="Multi",$R$4="FY"),ROUND(((1+$M15)^('W2'!$B$20+2)*'W2'!$E$9+(1+$M15)^('W2'!$B$20+3)*'W2'!$E$10)/12*'Subcontract 2'!$E15*'Subcontract 2'!H15,0),(IF(AND($S$4="Multi",$R$4="PY"),ROUND($E15*H15*((1+$M15)^2)/12*'W2'!$E$5,0),(IF(AND($S$4&lt;&gt;"Multi",$R$4="FY"),ROUND(((1+$S$4)^('W2'!$B$20+2)*'W2'!$E$9+(1+$S$4)^('W2'!$B$20+3)*'W2'!$E$10)/12*'Subcontract 2'!$E15*'Subcontract 2'!H15,0),ROUND($E15*H15*((1+$S$4)^2)/12*'W2'!$E$5,0))))))))</f>
        <v>0</v>
      </c>
      <c r="Q15" s="187">
        <f>IF('W2'!$C$4='W2'!$D$4,(IF(AND($S$4="Multi",$R$4="FY"),ROUND(((1+$M15)^('W2'!$B$20+2)*'W2'!$F$9+(1+$M15)^('W2'!$B$20+3)*'W2'!$F$10)/12*'Subcontract 2'!$E15*'Subcontract 2'!$I15,0),(IF(AND($S$4="Multi",$R$4="PY"),ROUND($E15*$I15*((1+$M15)^3)/12*'W2'!$F$5,0),(IF(AND($S$4&lt;&gt;"Multi",$R$4="FY"),ROUND(((1+$S$4)^('W2'!$B$20+2)*'W2'!$F$9+(1+$S$4)^('W2'!$B$20+3)*'W2'!$F$10)/12*'Subcontract 2'!$E15*'Subcontract 2'!$I15,0),ROUND($E15*$I15*((1+$S$4)^3)/12*'W2'!$F$5,0))))))),(IF(AND($S$4="Multi",$R$4="FY"),ROUND(((1+$M15)^('W2'!$B$20+3)*'W2'!$F$9+(1+$M15)^('W2'!$B$20+4)*'W2'!$F$10)/12*'Subcontract 2'!$E15*'Subcontract 2'!$I15,0),(IF(AND($S$4="Multi",$R$4="PY"),ROUND($E15*$I15*((1+$M15)^3)/12*'W2'!$F$5,0),(IF(AND($S$4&lt;&gt;"Multi",$R$4="FY"),ROUND(((1+$S$4)^('W2'!$B$20+3)*'W2'!$F$9+(1+$S$4)^('W2'!$B$20+4)*'W2'!$F$10)/12*'Subcontract 2'!$E15*'Subcontract 2'!$I15,0),ROUND($E15*$I15*((1+$S$4)^3)/12*'W2'!$F$5,0))))))))</f>
        <v>0</v>
      </c>
      <c r="R15" s="187">
        <f>IF('W2'!$C$4='W2'!$D$4,(IF(AND($S$4="Multi",$R$4="FY"),ROUND(((1+$M15)^('W2'!$B$20+3)*'W2'!$G$9+(1+$M15)^('W2'!$B$20+4)*'W2'!$G$10)/12*'Subcontract 2'!$E15*'Subcontract 2'!$J15,0),(IF(AND($S$4="Multi",$R$4="PY"),ROUND($E15*$J15*((1+$M15)^4)/12*'W2'!$G$5,0),(IF(AND($S$4&lt;&gt;"Multi",$R$4="FY"),ROUND(((1+$S$4)^('W2'!$B$20+3)*'W2'!$G$9+(1+$S$4)^('W2'!$B$20+4)*'W2'!$G$10)/12*'Subcontract 2'!$E15*'Subcontract 2'!$J15,0),ROUND($E15*$J15*((1+$S$4)^4)/12*'W2'!$G$5,0))))))),(IF(AND($S$4="Multi",$R$4="FY"),ROUND(((1+$M15)^('W2'!$B$20+4)*'W2'!$G$9+(1+$M15)^('W2'!$B$20+5)*'W2'!$G$10)/12*'Subcontract 2'!$E15*'Subcontract 2'!$J15,0),(IF(AND($S$4="Multi",$R$4="PY"),ROUND($E15*$J15*((1+$M15)^4)/12*'W2'!$G$5,0),(IF(AND($S$4&lt;&gt;"Multi",$R$4="FY"),ROUND(((1+$S$4)^('W2'!$B$20+4)*'W2'!$G$9+(1+$S$4)^('W2'!$B$20+5)*'W2'!$G$10)/12*'Subcontract 2'!$E15*'Subcontract 2'!$J15,0),ROUND($E15*$J15*((1+$S$4)^4)/12*'W2'!$G$5,0))))))))</f>
        <v>0</v>
      </c>
      <c r="S15" s="188">
        <f t="shared" si="2"/>
        <v>0</v>
      </c>
      <c r="T15" s="246"/>
      <c r="U15" s="246"/>
      <c r="V15" s="246"/>
      <c r="W15" s="246"/>
      <c r="X15" s="246"/>
      <c r="Y15" s="247"/>
      <c r="Z15" s="247"/>
      <c r="AA15" s="247"/>
      <c r="AB15" s="247"/>
      <c r="AC15" s="24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hidden="1" x14ac:dyDescent="0.2">
      <c r="A16" s="192">
        <v>9</v>
      </c>
      <c r="B16" s="193"/>
      <c r="C16" s="193"/>
      <c r="D16" s="194"/>
      <c r="E16" s="195"/>
      <c r="F16" s="221"/>
      <c r="G16" s="221"/>
      <c r="H16" s="221"/>
      <c r="I16" s="221"/>
      <c r="J16" s="221"/>
      <c r="K16" s="190" t="s">
        <v>176</v>
      </c>
      <c r="L16" s="190">
        <v>12</v>
      </c>
      <c r="M16" s="191">
        <v>0.03</v>
      </c>
      <c r="N16" s="187">
        <f>IF(AND($S$4="Multi",$R$4="FY"),ROUND(((1+$M16)^'W2'!$B$20*'W2'!$C$9+(1+$M16)^('W2'!$B$20+1)*'W2'!$C$10)/12*'Subcontract 2'!$E16*'Subcontract 2'!$F16,0),(IF(AND($S$4="Multi",$R$4="PY"),ROUND(E16*F16/12*'W2'!$C$5,0),(IF(AND($S$4&lt;&gt;"Multi",$R$4="FY"),ROUND(((1+$S$4)^'W2'!$B$20*'W2'!$C$9+(1+$S$4)^('W2'!$B$20+1)*'W2'!$C$10)/12*'Subcontract 2'!$E16*'Subcontract 2'!$F16,0),ROUND($E16*$F16/12*'W2'!$C$5,0))))))</f>
        <v>0</v>
      </c>
      <c r="O16" s="187">
        <f>IF('W2'!$C$4='W2'!$D$4,(IF(AND($S$4="Multi",$R$4="FY"),ROUND(((1+$M16)^('W2'!$B$20)*'W2'!$D$9+(1+$M16)^('W2'!$B$20+1)*'W2'!$D$10)/12*'Subcontract 2'!$E16*'Subcontract 2'!$G16,0),(IF(AND($S$4="Multi",$R$4="PY"),ROUND($E16*$G16*(1+M16)/12*'W2'!$D$5,0),(IF(AND($S$4&lt;&gt;"Multi",$R$4="FY"),ROUND(((1+$S$4)^('W2'!$B$20)*'W2'!$D$9+(1+$S$4)^('W2'!$B$20+1)*'W2'!$D$10)/12*'Subcontract 2'!$E16*'Subcontract 2'!$G16,0),ROUND($E16*$G16*(1+$S$4)/12*'W2'!$D$5,0))))))),(IF(AND($S$4="Multi",$R$4="FY"),ROUND(((1+$M16)^('W2'!$B$20+1)*'W2'!$D$9+(1+$M16)^('W2'!$B$20+2)*'W2'!$D$10)/12*'Subcontract 2'!$E16*'Subcontract 2'!$G16,0),(IF(AND($S$4="Multi",$R$4="PY"),ROUND($E16*$G16*(1+M16)/12*'W2'!$D$5,0),(IF(AND($S$4&lt;&gt;"Multi",$R$4="FY"),ROUND(((1+$S$4)^('W2'!$B$20+1)*'W2'!$D$9+(1+$S$4)^('W2'!$B$20+2)*'W2'!$D$10)/12*'Subcontract 2'!$E16*'Subcontract 2'!$G16,0),ROUND($E16*$G16*(1+$S$4)/12*'W2'!$D$5,0))))))))</f>
        <v>0</v>
      </c>
      <c r="P16" s="187">
        <f>IF('W2'!$C$4='W2'!$D$4,(IF(AND($S$4="Multi",$R$4="FY"),ROUND(((1+$M16)^('W2'!$B$20+1)*'W2'!$E$9+(1+$M16)^('W2'!$B$20+2)*'W2'!$E$10)/12*'Subcontract 2'!$E16*'Subcontract 2'!H16,0),(IF(AND($S$4="Multi",$R$4="PY"),ROUND($E16*H16*((1+$M16)^2)/12*'W2'!$E$5,0),(IF(AND($S$4&lt;&gt;"Multi",$R$4="FY"),ROUND(((1+$S$4)^('W2'!$B$20+1)*'W2'!$E$9+(1+$S$4)^('W2'!$B$20+2)*'W2'!$E$10)/12*'Subcontract 2'!$E16*'Subcontract 2'!H16,0),ROUND($E16*H16*((1+$S$4)^2)/12*'W2'!$E$5,0))))))),(IF(AND($S$4="Multi",$R$4="FY"),ROUND(((1+$M16)^('W2'!$B$20+2)*'W2'!$E$9+(1+$M16)^('W2'!$B$20+3)*'W2'!$E$10)/12*'Subcontract 2'!$E16*'Subcontract 2'!H16,0),(IF(AND($S$4="Multi",$R$4="PY"),ROUND($E16*H16*((1+$M16)^2)/12*'W2'!$E$5,0),(IF(AND($S$4&lt;&gt;"Multi",$R$4="FY"),ROUND(((1+$S$4)^('W2'!$B$20+2)*'W2'!$E$9+(1+$S$4)^('W2'!$B$20+3)*'W2'!$E$10)/12*'Subcontract 2'!$E16*'Subcontract 2'!H16,0),ROUND($E16*H16*((1+$S$4)^2)/12*'W2'!$E$5,0))))))))</f>
        <v>0</v>
      </c>
      <c r="Q16" s="187">
        <f>IF('W2'!$C$4='W2'!$D$4,(IF(AND($S$4="Multi",$R$4="FY"),ROUND(((1+$M16)^('W2'!$B$20+2)*'W2'!$F$9+(1+$M16)^('W2'!$B$20+3)*'W2'!$F$10)/12*'Subcontract 2'!$E16*'Subcontract 2'!$I16,0),(IF(AND($S$4="Multi",$R$4="PY"),ROUND($E16*$I16*((1+$M16)^3)/12*'W2'!$F$5,0),(IF(AND($S$4&lt;&gt;"Multi",$R$4="FY"),ROUND(((1+$S$4)^('W2'!$B$20+2)*'W2'!$F$9+(1+$S$4)^('W2'!$B$20+3)*'W2'!$F$10)/12*'Subcontract 2'!$E16*'Subcontract 2'!$I16,0),ROUND($E16*$I16*((1+$S$4)^3)/12*'W2'!$F$5,0))))))),(IF(AND($S$4="Multi",$R$4="FY"),ROUND(((1+$M16)^('W2'!$B$20+3)*'W2'!$F$9+(1+$M16)^('W2'!$B$20+4)*'W2'!$F$10)/12*'Subcontract 2'!$E16*'Subcontract 2'!$I16,0),(IF(AND($S$4="Multi",$R$4="PY"),ROUND($E16*$I16*((1+$M16)^3)/12*'W2'!$F$5,0),(IF(AND($S$4&lt;&gt;"Multi",$R$4="FY"),ROUND(((1+$S$4)^('W2'!$B$20+3)*'W2'!$F$9+(1+$S$4)^('W2'!$B$20+4)*'W2'!$F$10)/12*'Subcontract 2'!$E16*'Subcontract 2'!$I16,0),ROUND($E16*$I16*((1+$S$4)^3)/12*'W2'!$F$5,0))))))))</f>
        <v>0</v>
      </c>
      <c r="R16" s="187">
        <f>IF('W2'!$C$4='W2'!$D$4,(IF(AND($S$4="Multi",$R$4="FY"),ROUND(((1+$M16)^('W2'!$B$20+3)*'W2'!$G$9+(1+$M16)^('W2'!$B$20+4)*'W2'!$G$10)/12*'Subcontract 2'!$E16*'Subcontract 2'!$J16,0),(IF(AND($S$4="Multi",$R$4="PY"),ROUND($E16*$J16*((1+$M16)^4)/12*'W2'!$G$5,0),(IF(AND($S$4&lt;&gt;"Multi",$R$4="FY"),ROUND(((1+$S$4)^('W2'!$B$20+3)*'W2'!$G$9+(1+$S$4)^('W2'!$B$20+4)*'W2'!$G$10)/12*'Subcontract 2'!$E16*'Subcontract 2'!$J16,0),ROUND($E16*$J16*((1+$S$4)^4)/12*'W2'!$G$5,0))))))),(IF(AND($S$4="Multi",$R$4="FY"),ROUND(((1+$M16)^('W2'!$B$20+4)*'W2'!$G$9+(1+$M16)^('W2'!$B$20+5)*'W2'!$G$10)/12*'Subcontract 2'!$E16*'Subcontract 2'!$J16,0),(IF(AND($S$4="Multi",$R$4="PY"),ROUND($E16*$J16*((1+$M16)^4)/12*'W2'!$G$5,0),(IF(AND($S$4&lt;&gt;"Multi",$R$4="FY"),ROUND(((1+$S$4)^('W2'!$B$20+4)*'W2'!$G$9+(1+$S$4)^('W2'!$B$20+5)*'W2'!$G$10)/12*'Subcontract 2'!$E16*'Subcontract 2'!$J16,0),ROUND($E16*$J16*((1+$S$4)^4)/12*'W2'!$G$5,0))))))))</f>
        <v>0</v>
      </c>
      <c r="S16" s="188">
        <f t="shared" si="2"/>
        <v>0</v>
      </c>
      <c r="T16" s="246"/>
      <c r="U16" s="246"/>
      <c r="V16" s="246"/>
      <c r="W16" s="246"/>
      <c r="X16" s="246"/>
      <c r="Y16" s="247"/>
      <c r="Z16" s="247"/>
      <c r="AA16" s="247"/>
      <c r="AB16" s="247"/>
      <c r="AC16" s="24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hidden="1" x14ac:dyDescent="0.2">
      <c r="A17" s="192">
        <v>10</v>
      </c>
      <c r="B17" s="193"/>
      <c r="C17" s="193"/>
      <c r="D17" s="194"/>
      <c r="E17" s="195"/>
      <c r="F17" s="221"/>
      <c r="G17" s="221"/>
      <c r="H17" s="221"/>
      <c r="I17" s="221"/>
      <c r="J17" s="221"/>
      <c r="K17" s="190" t="s">
        <v>176</v>
      </c>
      <c r="L17" s="190">
        <v>12</v>
      </c>
      <c r="M17" s="191">
        <v>0.03</v>
      </c>
      <c r="N17" s="187">
        <f>IF(AND($S$4="Multi",$R$4="FY"),ROUND(((1+$M17)^'W2'!$B$20*'W2'!$C$9+(1+$M17)^('W2'!$B$20+1)*'W2'!$C$10)/12*'Subcontract 2'!$E17*'Subcontract 2'!$F17,0),(IF(AND($S$4="Multi",$R$4="PY"),ROUND(E17*F17/12*'W2'!$C$5,0),(IF(AND($S$4&lt;&gt;"Multi",$R$4="FY"),ROUND(((1+$S$4)^'W2'!$B$20*'W2'!$C$9+(1+$S$4)^('W2'!$B$20+1)*'W2'!$C$10)/12*'Subcontract 2'!$E17*'Subcontract 2'!$F17,0),ROUND($E17*$F17/12*'W2'!$C$5,0))))))</f>
        <v>0</v>
      </c>
      <c r="O17" s="187">
        <f>IF('W2'!$C$4='W2'!$D$4,(IF(AND($S$4="Multi",$R$4="FY"),ROUND(((1+$M17)^('W2'!$B$20)*'W2'!$D$9+(1+$M17)^('W2'!$B$20+1)*'W2'!$D$10)/12*'Subcontract 2'!$E17*'Subcontract 2'!$G17,0),(IF(AND($S$4="Multi",$R$4="PY"),ROUND($E17*$G17*(1+M17)/12*'W2'!$D$5,0),(IF(AND($S$4&lt;&gt;"Multi",$R$4="FY"),ROUND(((1+$S$4)^('W2'!$B$20)*'W2'!$D$9+(1+$S$4)^('W2'!$B$20+1)*'W2'!$D$10)/12*'Subcontract 2'!$E17*'Subcontract 2'!$G17,0),ROUND($E17*$G17*(1+$S$4)/12*'W2'!$D$5,0))))))),(IF(AND($S$4="Multi",$R$4="FY"),ROUND(((1+$M17)^('W2'!$B$20+1)*'W2'!$D$9+(1+$M17)^('W2'!$B$20+2)*'W2'!$D$10)/12*'Subcontract 2'!$E17*'Subcontract 2'!$G17,0),(IF(AND($S$4="Multi",$R$4="PY"),ROUND($E17*$G17*(1+M17)/12*'W2'!$D$5,0),(IF(AND($S$4&lt;&gt;"Multi",$R$4="FY"),ROUND(((1+$S$4)^('W2'!$B$20+1)*'W2'!$D$9+(1+$S$4)^('W2'!$B$20+2)*'W2'!$D$10)/12*'Subcontract 2'!$E17*'Subcontract 2'!$G17,0),ROUND($E17*$G17*(1+$S$4)/12*'W2'!$D$5,0))))))))</f>
        <v>0</v>
      </c>
      <c r="P17" s="187">
        <f>IF('W2'!$C$4='W2'!$D$4,(IF(AND($S$4="Multi",$R$4="FY"),ROUND(((1+$M17)^('W2'!$B$20+1)*'W2'!$E$9+(1+$M17)^('W2'!$B$20+2)*'W2'!$E$10)/12*'Subcontract 2'!$E17*'Subcontract 2'!H17,0),(IF(AND($S$4="Multi",$R$4="PY"),ROUND($E17*H17*((1+$M17)^2)/12*'W2'!$E$5,0),(IF(AND($S$4&lt;&gt;"Multi",$R$4="FY"),ROUND(((1+$S$4)^('W2'!$B$20+1)*'W2'!$E$9+(1+$S$4)^('W2'!$B$20+2)*'W2'!$E$10)/12*'Subcontract 2'!$E17*'Subcontract 2'!H17,0),ROUND($E17*H17*((1+$S$4)^2)/12*'W2'!$E$5,0))))))),(IF(AND($S$4="Multi",$R$4="FY"),ROUND(((1+$M17)^('W2'!$B$20+2)*'W2'!$E$9+(1+$M17)^('W2'!$B$20+3)*'W2'!$E$10)/12*'Subcontract 2'!$E17*'Subcontract 2'!H17,0),(IF(AND($S$4="Multi",$R$4="PY"),ROUND($E17*H17*((1+$M17)^2)/12*'W2'!$E$5,0),(IF(AND($S$4&lt;&gt;"Multi",$R$4="FY"),ROUND(((1+$S$4)^('W2'!$B$20+2)*'W2'!$E$9+(1+$S$4)^('W2'!$B$20+3)*'W2'!$E$10)/12*'Subcontract 2'!$E17*'Subcontract 2'!H17,0),ROUND($E17*H17*((1+$S$4)^2)/12*'W2'!$E$5,0))))))))</f>
        <v>0</v>
      </c>
      <c r="Q17" s="187">
        <f>IF('W2'!$C$4='W2'!$D$4,(IF(AND($S$4="Multi",$R$4="FY"),ROUND(((1+$M17)^('W2'!$B$20+2)*'W2'!$F$9+(1+$M17)^('W2'!$B$20+3)*'W2'!$F$10)/12*'Subcontract 2'!$E17*'Subcontract 2'!$I17,0),(IF(AND($S$4="Multi",$R$4="PY"),ROUND($E17*$I17*((1+$M17)^3)/12*'W2'!$F$5,0),(IF(AND($S$4&lt;&gt;"Multi",$R$4="FY"),ROUND(((1+$S$4)^('W2'!$B$20+2)*'W2'!$F$9+(1+$S$4)^('W2'!$B$20+3)*'W2'!$F$10)/12*'Subcontract 2'!$E17*'Subcontract 2'!$I17,0),ROUND($E17*$I17*((1+$S$4)^3)/12*'W2'!$F$5,0))))))),(IF(AND($S$4="Multi",$R$4="FY"),ROUND(((1+$M17)^('W2'!$B$20+3)*'W2'!$F$9+(1+$M17)^('W2'!$B$20+4)*'W2'!$F$10)/12*'Subcontract 2'!$E17*'Subcontract 2'!$I17,0),(IF(AND($S$4="Multi",$R$4="PY"),ROUND($E17*$I17*((1+$M17)^3)/12*'W2'!$F$5,0),(IF(AND($S$4&lt;&gt;"Multi",$R$4="FY"),ROUND(((1+$S$4)^('W2'!$B$20+3)*'W2'!$F$9+(1+$S$4)^('W2'!$B$20+4)*'W2'!$F$10)/12*'Subcontract 2'!$E17*'Subcontract 2'!$I17,0),ROUND($E17*$I17*((1+$S$4)^3)/12*'W2'!$F$5,0))))))))</f>
        <v>0</v>
      </c>
      <c r="R17" s="187">
        <f>IF('W2'!$C$4='W2'!$D$4,(IF(AND($S$4="Multi",$R$4="FY"),ROUND(((1+$M17)^('W2'!$B$20+3)*'W2'!$G$9+(1+$M17)^('W2'!$B$20+4)*'W2'!$G$10)/12*'Subcontract 2'!$E17*'Subcontract 2'!$J17,0),(IF(AND($S$4="Multi",$R$4="PY"),ROUND($E17*$J17*((1+$M17)^4)/12*'W2'!$G$5,0),(IF(AND($S$4&lt;&gt;"Multi",$R$4="FY"),ROUND(((1+$S$4)^('W2'!$B$20+3)*'W2'!$G$9+(1+$S$4)^('W2'!$B$20+4)*'W2'!$G$10)/12*'Subcontract 2'!$E17*'Subcontract 2'!$J17,0),ROUND($E17*$J17*((1+$S$4)^4)/12*'W2'!$G$5,0))))))),(IF(AND($S$4="Multi",$R$4="FY"),ROUND(((1+$M17)^('W2'!$B$20+4)*'W2'!$G$9+(1+$M17)^('W2'!$B$20+5)*'W2'!$G$10)/12*'Subcontract 2'!$E17*'Subcontract 2'!$J17,0),(IF(AND($S$4="Multi",$R$4="PY"),ROUND($E17*$J17*((1+$M17)^4)/12*'W2'!$G$5,0),(IF(AND($S$4&lt;&gt;"Multi",$R$4="FY"),ROUND(((1+$S$4)^('W2'!$B$20+4)*'W2'!$G$9+(1+$S$4)^('W2'!$B$20+5)*'W2'!$G$10)/12*'Subcontract 2'!$E17*'Subcontract 2'!$J17,0),ROUND($E17*$J17*((1+$S$4)^4)/12*'W2'!$G$5,0))))))))</f>
        <v>0</v>
      </c>
      <c r="S17" s="188">
        <f t="shared" si="2"/>
        <v>0</v>
      </c>
      <c r="T17" s="246"/>
      <c r="U17" s="246"/>
      <c r="V17" s="246"/>
      <c r="W17" s="246"/>
      <c r="X17" s="246"/>
      <c r="Y17" s="247"/>
      <c r="Z17" s="247"/>
      <c r="AA17" s="247"/>
      <c r="AB17" s="247"/>
      <c r="AC17" s="24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hidden="1" x14ac:dyDescent="0.2">
      <c r="A18" s="192">
        <v>11</v>
      </c>
      <c r="B18" s="193"/>
      <c r="C18" s="193"/>
      <c r="D18" s="194"/>
      <c r="E18" s="195"/>
      <c r="F18" s="221"/>
      <c r="G18" s="221"/>
      <c r="H18" s="221"/>
      <c r="I18" s="221"/>
      <c r="J18" s="221"/>
      <c r="K18" s="190" t="s">
        <v>176</v>
      </c>
      <c r="L18" s="190">
        <v>12</v>
      </c>
      <c r="M18" s="191">
        <v>0.03</v>
      </c>
      <c r="N18" s="187">
        <f>IF(AND($S$4="Multi",$R$4="FY"),ROUND(((1+$M18)^'W2'!$B$20*'W2'!$C$9+(1+$M18)^('W2'!$B$20+1)*'W2'!$C$10)/12*'Subcontract 2'!$E18*'Subcontract 2'!$F18,0),(IF(AND($S$4="Multi",$R$4="PY"),ROUND(E18*F18/12*'W2'!$C$5,0),(IF(AND($S$4&lt;&gt;"Multi",$R$4="FY"),ROUND(((1+$S$4)^'W2'!$B$20*'W2'!$C$9+(1+$S$4)^('W2'!$B$20+1)*'W2'!$C$10)/12*'Subcontract 2'!$E18*'Subcontract 2'!$F18,0),ROUND($E18*$F18/12*'W2'!$C$5,0))))))</f>
        <v>0</v>
      </c>
      <c r="O18" s="187">
        <f>IF('W2'!$C$4='W2'!$D$4,(IF(AND($S$4="Multi",$R$4="FY"),ROUND(((1+$M18)^('W2'!$B$20)*'W2'!$D$9+(1+$M18)^('W2'!$B$20+1)*'W2'!$D$10)/12*'Subcontract 2'!$E18*'Subcontract 2'!$G18,0),(IF(AND($S$4="Multi",$R$4="PY"),ROUND($E18*$G18*(1+M18)/12*'W2'!$D$5,0),(IF(AND($S$4&lt;&gt;"Multi",$R$4="FY"),ROUND(((1+$S$4)^('W2'!$B$20)*'W2'!$D$9+(1+$S$4)^('W2'!$B$20+1)*'W2'!$D$10)/12*'Subcontract 2'!$E18*'Subcontract 2'!$G18,0),ROUND($E18*$G18*(1+$S$4)/12*'W2'!$D$5,0))))))),(IF(AND($S$4="Multi",$R$4="FY"),ROUND(((1+$M18)^('W2'!$B$20+1)*'W2'!$D$9+(1+$M18)^('W2'!$B$20+2)*'W2'!$D$10)/12*'Subcontract 2'!$E18*'Subcontract 2'!$G18,0),(IF(AND($S$4="Multi",$R$4="PY"),ROUND($E18*$G18*(1+M18)/12*'W2'!$D$5,0),(IF(AND($S$4&lt;&gt;"Multi",$R$4="FY"),ROUND(((1+$S$4)^('W2'!$B$20+1)*'W2'!$D$9+(1+$S$4)^('W2'!$B$20+2)*'W2'!$D$10)/12*'Subcontract 2'!$E18*'Subcontract 2'!$G18,0),ROUND($E18*$G18*(1+$S$4)/12*'W2'!$D$5,0))))))))</f>
        <v>0</v>
      </c>
      <c r="P18" s="187">
        <f>IF('W2'!$C$4='W2'!$D$4,(IF(AND($S$4="Multi",$R$4="FY"),ROUND(((1+$M18)^('W2'!$B$20+1)*'W2'!$E$9+(1+$M18)^('W2'!$B$20+2)*'W2'!$E$10)/12*'Subcontract 2'!$E18*'Subcontract 2'!H18,0),(IF(AND($S$4="Multi",$R$4="PY"),ROUND($E18*H18*((1+$M18)^2)/12*'W2'!$E$5,0),(IF(AND($S$4&lt;&gt;"Multi",$R$4="FY"),ROUND(((1+$S$4)^('W2'!$B$20+1)*'W2'!$E$9+(1+$S$4)^('W2'!$B$20+2)*'W2'!$E$10)/12*'Subcontract 2'!$E18*'Subcontract 2'!H18,0),ROUND($E18*H18*((1+$S$4)^2)/12*'W2'!$E$5,0))))))),(IF(AND($S$4="Multi",$R$4="FY"),ROUND(((1+$M18)^('W2'!$B$20+2)*'W2'!$E$9+(1+$M18)^('W2'!$B$20+3)*'W2'!$E$10)/12*'Subcontract 2'!$E18*'Subcontract 2'!H18,0),(IF(AND($S$4="Multi",$R$4="PY"),ROUND($E18*H18*((1+$M18)^2)/12*'W2'!$E$5,0),(IF(AND($S$4&lt;&gt;"Multi",$R$4="FY"),ROUND(((1+$S$4)^('W2'!$B$20+2)*'W2'!$E$9+(1+$S$4)^('W2'!$B$20+3)*'W2'!$E$10)/12*'Subcontract 2'!$E18*'Subcontract 2'!H18,0),ROUND($E18*H18*((1+$S$4)^2)/12*'W2'!$E$5,0))))))))</f>
        <v>0</v>
      </c>
      <c r="Q18" s="187">
        <f>IF('W2'!$C$4='W2'!$D$4,(IF(AND($S$4="Multi",$R$4="FY"),ROUND(((1+$M18)^('W2'!$B$20+2)*'W2'!$F$9+(1+$M18)^('W2'!$B$20+3)*'W2'!$F$10)/12*'Subcontract 2'!$E18*'Subcontract 2'!$I18,0),(IF(AND($S$4="Multi",$R$4="PY"),ROUND($E18*$I18*((1+$M18)^3)/12*'W2'!$F$5,0),(IF(AND($S$4&lt;&gt;"Multi",$R$4="FY"),ROUND(((1+$S$4)^('W2'!$B$20+2)*'W2'!$F$9+(1+$S$4)^('W2'!$B$20+3)*'W2'!$F$10)/12*'Subcontract 2'!$E18*'Subcontract 2'!$I18,0),ROUND($E18*$I18*((1+$S$4)^3)/12*'W2'!$F$5,0))))))),(IF(AND($S$4="Multi",$R$4="FY"),ROUND(((1+$M18)^('W2'!$B$20+3)*'W2'!$F$9+(1+$M18)^('W2'!$B$20+4)*'W2'!$F$10)/12*'Subcontract 2'!$E18*'Subcontract 2'!$I18,0),(IF(AND($S$4="Multi",$R$4="PY"),ROUND($E18*$I18*((1+$M18)^3)/12*'W2'!$F$5,0),(IF(AND($S$4&lt;&gt;"Multi",$R$4="FY"),ROUND(((1+$S$4)^('W2'!$B$20+3)*'W2'!$F$9+(1+$S$4)^('W2'!$B$20+4)*'W2'!$F$10)/12*'Subcontract 2'!$E18*'Subcontract 2'!$I18,0),ROUND($E18*$I18*((1+$S$4)^3)/12*'W2'!$F$5,0))))))))</f>
        <v>0</v>
      </c>
      <c r="R18" s="187">
        <f>IF('W2'!$C$4='W2'!$D$4,(IF(AND($S$4="Multi",$R$4="FY"),ROUND(((1+$M18)^('W2'!$B$20+3)*'W2'!$G$9+(1+$M18)^('W2'!$B$20+4)*'W2'!$G$10)/12*'Subcontract 2'!$E18*'Subcontract 2'!$J18,0),(IF(AND($S$4="Multi",$R$4="PY"),ROUND($E18*$J18*((1+$M18)^4)/12*'W2'!$G$5,0),(IF(AND($S$4&lt;&gt;"Multi",$R$4="FY"),ROUND(((1+$S$4)^('W2'!$B$20+3)*'W2'!$G$9+(1+$S$4)^('W2'!$B$20+4)*'W2'!$G$10)/12*'Subcontract 2'!$E18*'Subcontract 2'!$J18,0),ROUND($E18*$J18*((1+$S$4)^4)/12*'W2'!$G$5,0))))))),(IF(AND($S$4="Multi",$R$4="FY"),ROUND(((1+$M18)^('W2'!$B$20+4)*'W2'!$G$9+(1+$M18)^('W2'!$B$20+5)*'W2'!$G$10)/12*'Subcontract 2'!$E18*'Subcontract 2'!$J18,0),(IF(AND($S$4="Multi",$R$4="PY"),ROUND($E18*$J18*((1+$M18)^4)/12*'W2'!$G$5,0),(IF(AND($S$4&lt;&gt;"Multi",$R$4="FY"),ROUND(((1+$S$4)^('W2'!$B$20+4)*'W2'!$G$9+(1+$S$4)^('W2'!$B$20+5)*'W2'!$G$10)/12*'Subcontract 2'!$E18*'Subcontract 2'!$J18,0),ROUND($E18*$J18*((1+$S$4)^4)/12*'W2'!$G$5,0))))))))</f>
        <v>0</v>
      </c>
      <c r="S18" s="188">
        <f t="shared" si="2"/>
        <v>0</v>
      </c>
      <c r="T18" s="246"/>
      <c r="U18" s="246"/>
      <c r="V18" s="246"/>
      <c r="W18" s="246"/>
      <c r="X18" s="246"/>
      <c r="Y18" s="247"/>
      <c r="Z18" s="247"/>
      <c r="AA18" s="247"/>
      <c r="AB18" s="247"/>
      <c r="AC18" s="24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hidden="1" x14ac:dyDescent="0.2">
      <c r="A19" s="192">
        <v>12</v>
      </c>
      <c r="B19" s="193"/>
      <c r="C19" s="193"/>
      <c r="D19" s="194"/>
      <c r="E19" s="195"/>
      <c r="F19" s="221"/>
      <c r="G19" s="221"/>
      <c r="H19" s="221"/>
      <c r="I19" s="221"/>
      <c r="J19" s="221"/>
      <c r="K19" s="190" t="s">
        <v>176</v>
      </c>
      <c r="L19" s="190">
        <v>12</v>
      </c>
      <c r="M19" s="191">
        <v>0.03</v>
      </c>
      <c r="N19" s="187">
        <f>IF(AND($S$4="Multi",$R$4="FY"),ROUND(((1+$M19)^'W2'!$B$20*'W2'!$C$9+(1+$M19)^('W2'!$B$20+1)*'W2'!$C$10)/12*'Subcontract 2'!$E19*'Subcontract 2'!$F19,0),(IF(AND($S$4="Multi",$R$4="PY"),ROUND(E19*F19/12*'W2'!$C$5,0),(IF(AND($S$4&lt;&gt;"Multi",$R$4="FY"),ROUND(((1+$S$4)^'W2'!$B$20*'W2'!$C$9+(1+$S$4)^('W2'!$B$20+1)*'W2'!$C$10)/12*'Subcontract 2'!$E19*'Subcontract 2'!$F19,0),ROUND($E19*$F19/12*'W2'!$C$5,0))))))</f>
        <v>0</v>
      </c>
      <c r="O19" s="187">
        <f>IF('W2'!$C$4='W2'!$D$4,(IF(AND($S$4="Multi",$R$4="FY"),ROUND(((1+$M19)^('W2'!$B$20)*'W2'!$D$9+(1+$M19)^('W2'!$B$20+1)*'W2'!$D$10)/12*'Subcontract 2'!$E19*'Subcontract 2'!$G19,0),(IF(AND($S$4="Multi",$R$4="PY"),ROUND($E19*$G19*(1+M19)/12*'W2'!$D$5,0),(IF(AND($S$4&lt;&gt;"Multi",$R$4="FY"),ROUND(((1+$S$4)^('W2'!$B$20)*'W2'!$D$9+(1+$S$4)^('W2'!$B$20+1)*'W2'!$D$10)/12*'Subcontract 2'!$E19*'Subcontract 2'!$G19,0),ROUND($E19*$G19*(1+$S$4)/12*'W2'!$D$5,0))))))),(IF(AND($S$4="Multi",$R$4="FY"),ROUND(((1+$M19)^('W2'!$B$20+1)*'W2'!$D$9+(1+$M19)^('W2'!$B$20+2)*'W2'!$D$10)/12*'Subcontract 2'!$E19*'Subcontract 2'!$G19,0),(IF(AND($S$4="Multi",$R$4="PY"),ROUND($E19*$G19*(1+M19)/12*'W2'!$D$5,0),(IF(AND($S$4&lt;&gt;"Multi",$R$4="FY"),ROUND(((1+$S$4)^('W2'!$B$20+1)*'W2'!$D$9+(1+$S$4)^('W2'!$B$20+2)*'W2'!$D$10)/12*'Subcontract 2'!$E19*'Subcontract 2'!$G19,0),ROUND($E19*$G19*(1+$S$4)/12*'W2'!$D$5,0))))))))</f>
        <v>0</v>
      </c>
      <c r="P19" s="187">
        <f>IF('W2'!$C$4='W2'!$D$4,(IF(AND($S$4="Multi",$R$4="FY"),ROUND(((1+$M19)^('W2'!$B$20+1)*'W2'!$E$9+(1+$M19)^('W2'!$B$20+2)*'W2'!$E$10)/12*'Subcontract 2'!$E19*'Subcontract 2'!H19,0),(IF(AND($S$4="Multi",$R$4="PY"),ROUND($E19*H19*((1+$M19)^2)/12*'W2'!$E$5,0),(IF(AND($S$4&lt;&gt;"Multi",$R$4="FY"),ROUND(((1+$S$4)^('W2'!$B$20+1)*'W2'!$E$9+(1+$S$4)^('W2'!$B$20+2)*'W2'!$E$10)/12*'Subcontract 2'!$E19*'Subcontract 2'!H19,0),ROUND($E19*H19*((1+$S$4)^2)/12*'W2'!$E$5,0))))))),(IF(AND($S$4="Multi",$R$4="FY"),ROUND(((1+$M19)^('W2'!$B$20+2)*'W2'!$E$9+(1+$M19)^('W2'!$B$20+3)*'W2'!$E$10)/12*'Subcontract 2'!$E19*'Subcontract 2'!H19,0),(IF(AND($S$4="Multi",$R$4="PY"),ROUND($E19*H19*((1+$M19)^2)/12*'W2'!$E$5,0),(IF(AND($S$4&lt;&gt;"Multi",$R$4="FY"),ROUND(((1+$S$4)^('W2'!$B$20+2)*'W2'!$E$9+(1+$S$4)^('W2'!$B$20+3)*'W2'!$E$10)/12*'Subcontract 2'!$E19*'Subcontract 2'!H19,0),ROUND($E19*H19*((1+$S$4)^2)/12*'W2'!$E$5,0))))))))</f>
        <v>0</v>
      </c>
      <c r="Q19" s="187">
        <f>IF('W2'!$C$4='W2'!$D$4,(IF(AND($S$4="Multi",$R$4="FY"),ROUND(((1+$M19)^('W2'!$B$20+2)*'W2'!$F$9+(1+$M19)^('W2'!$B$20+3)*'W2'!$F$10)/12*'Subcontract 2'!$E19*'Subcontract 2'!$I19,0),(IF(AND($S$4="Multi",$R$4="PY"),ROUND($E19*$I19*((1+$M19)^3)/12*'W2'!$F$5,0),(IF(AND($S$4&lt;&gt;"Multi",$R$4="FY"),ROUND(((1+$S$4)^('W2'!$B$20+2)*'W2'!$F$9+(1+$S$4)^('W2'!$B$20+3)*'W2'!$F$10)/12*'Subcontract 2'!$E19*'Subcontract 2'!$I19,0),ROUND($E19*$I19*((1+$S$4)^3)/12*'W2'!$F$5,0))))))),(IF(AND($S$4="Multi",$R$4="FY"),ROUND(((1+$M19)^('W2'!$B$20+3)*'W2'!$F$9+(1+$M19)^('W2'!$B$20+4)*'W2'!$F$10)/12*'Subcontract 2'!$E19*'Subcontract 2'!$I19,0),(IF(AND($S$4="Multi",$R$4="PY"),ROUND($E19*$I19*((1+$M19)^3)/12*'W2'!$F$5,0),(IF(AND($S$4&lt;&gt;"Multi",$R$4="FY"),ROUND(((1+$S$4)^('W2'!$B$20+3)*'W2'!$F$9+(1+$S$4)^('W2'!$B$20+4)*'W2'!$F$10)/12*'Subcontract 2'!$E19*'Subcontract 2'!$I19,0),ROUND($E19*$I19*((1+$S$4)^3)/12*'W2'!$F$5,0))))))))</f>
        <v>0</v>
      </c>
      <c r="R19" s="187">
        <f>IF('W2'!$C$4='W2'!$D$4,(IF(AND($S$4="Multi",$R$4="FY"),ROUND(((1+$M19)^('W2'!$B$20+3)*'W2'!$G$9+(1+$M19)^('W2'!$B$20+4)*'W2'!$G$10)/12*'Subcontract 2'!$E19*'Subcontract 2'!$J19,0),(IF(AND($S$4="Multi",$R$4="PY"),ROUND($E19*$J19*((1+$M19)^4)/12*'W2'!$G$5,0),(IF(AND($S$4&lt;&gt;"Multi",$R$4="FY"),ROUND(((1+$S$4)^('W2'!$B$20+3)*'W2'!$G$9+(1+$S$4)^('W2'!$B$20+4)*'W2'!$G$10)/12*'Subcontract 2'!$E19*'Subcontract 2'!$J19,0),ROUND($E19*$J19*((1+$S$4)^4)/12*'W2'!$G$5,0))))))),(IF(AND($S$4="Multi",$R$4="FY"),ROUND(((1+$M19)^('W2'!$B$20+4)*'W2'!$G$9+(1+$M19)^('W2'!$B$20+5)*'W2'!$G$10)/12*'Subcontract 2'!$E19*'Subcontract 2'!$J19,0),(IF(AND($S$4="Multi",$R$4="PY"),ROUND($E19*$J19*((1+$M19)^4)/12*'W2'!$G$5,0),(IF(AND($S$4&lt;&gt;"Multi",$R$4="FY"),ROUND(((1+$S$4)^('W2'!$B$20+4)*'W2'!$G$9+(1+$S$4)^('W2'!$B$20+5)*'W2'!$G$10)/12*'Subcontract 2'!$E19*'Subcontract 2'!$J19,0),ROUND($E19*$J19*((1+$S$4)^4)/12*'W2'!$G$5,0))))))))</f>
        <v>0</v>
      </c>
      <c r="S19" s="188">
        <f t="shared" si="2"/>
        <v>0</v>
      </c>
      <c r="T19" s="246"/>
      <c r="U19" s="246"/>
      <c r="V19" s="246"/>
      <c r="W19" s="246"/>
      <c r="X19" s="246"/>
      <c r="Y19" s="247"/>
      <c r="Z19" s="247"/>
      <c r="AA19" s="247"/>
      <c r="AB19" s="247"/>
      <c r="AC19" s="24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idden="1" x14ac:dyDescent="0.2">
      <c r="A20" s="192">
        <v>13</v>
      </c>
      <c r="B20" s="193"/>
      <c r="C20" s="193"/>
      <c r="D20" s="194"/>
      <c r="E20" s="195"/>
      <c r="F20" s="221"/>
      <c r="G20" s="221"/>
      <c r="H20" s="221"/>
      <c r="I20" s="221"/>
      <c r="J20" s="221"/>
      <c r="K20" s="190" t="s">
        <v>176</v>
      </c>
      <c r="L20" s="190">
        <v>12</v>
      </c>
      <c r="M20" s="191">
        <v>0.03</v>
      </c>
      <c r="N20" s="187">
        <f>IF(AND($S$4="Multi",$R$4="FY"),ROUND(((1+$M20)^'W2'!$B$20*'W2'!$C$9+(1+$M20)^('W2'!$B$20+1)*'W2'!$C$10)/12*'Subcontract 2'!$E20*'Subcontract 2'!$F20,0),(IF(AND($S$4="Multi",$R$4="PY"),ROUND(E20*F20/12*'W2'!$C$5,0),(IF(AND($S$4&lt;&gt;"Multi",$R$4="FY"),ROUND(((1+$S$4)^'W2'!$B$20*'W2'!$C$9+(1+$S$4)^('W2'!$B$20+1)*'W2'!$C$10)/12*'Subcontract 2'!$E20*'Subcontract 2'!$F20,0),ROUND($E20*$F20/12*'W2'!$C$5,0))))))</f>
        <v>0</v>
      </c>
      <c r="O20" s="187">
        <f>IF('W2'!$C$4='W2'!$D$4,(IF(AND($S$4="Multi",$R$4="FY"),ROUND(((1+$M20)^('W2'!$B$20)*'W2'!$D$9+(1+$M20)^('W2'!$B$20+1)*'W2'!$D$10)/12*'Subcontract 2'!$E20*'Subcontract 2'!$G20,0),(IF(AND($S$4="Multi",$R$4="PY"),ROUND($E20*$G20*(1+M20)/12*'W2'!$D$5,0),(IF(AND($S$4&lt;&gt;"Multi",$R$4="FY"),ROUND(((1+$S$4)^('W2'!$B$20)*'W2'!$D$9+(1+$S$4)^('W2'!$B$20+1)*'W2'!$D$10)/12*'Subcontract 2'!$E20*'Subcontract 2'!$G20,0),ROUND($E20*$G20*(1+$S$4)/12*'W2'!$D$5,0))))))),(IF(AND($S$4="Multi",$R$4="FY"),ROUND(((1+$M20)^('W2'!$B$20+1)*'W2'!$D$9+(1+$M20)^('W2'!$B$20+2)*'W2'!$D$10)/12*'Subcontract 2'!$E20*'Subcontract 2'!$G20,0),(IF(AND($S$4="Multi",$R$4="PY"),ROUND($E20*$G20*(1+M20)/12*'W2'!$D$5,0),(IF(AND($S$4&lt;&gt;"Multi",$R$4="FY"),ROUND(((1+$S$4)^('W2'!$B$20+1)*'W2'!$D$9+(1+$S$4)^('W2'!$B$20+2)*'W2'!$D$10)/12*'Subcontract 2'!$E20*'Subcontract 2'!$G20,0),ROUND($E20*$G20*(1+$S$4)/12*'W2'!$D$5,0))))))))</f>
        <v>0</v>
      </c>
      <c r="P20" s="187">
        <f>IF('W2'!$C$4='W2'!$D$4,(IF(AND($S$4="Multi",$R$4="FY"),ROUND(((1+$M20)^('W2'!$B$20+1)*'W2'!$E$9+(1+$M20)^('W2'!$B$20+2)*'W2'!$E$10)/12*'Subcontract 2'!$E20*'Subcontract 2'!H20,0),(IF(AND($S$4="Multi",$R$4="PY"),ROUND($E20*H20*((1+$M20)^2)/12*'W2'!$E$5,0),(IF(AND($S$4&lt;&gt;"Multi",$R$4="FY"),ROUND(((1+$S$4)^('W2'!$B$20+1)*'W2'!$E$9+(1+$S$4)^('W2'!$B$20+2)*'W2'!$E$10)/12*'Subcontract 2'!$E20*'Subcontract 2'!H20,0),ROUND($E20*H20*((1+$S$4)^2)/12*'W2'!$E$5,0))))))),(IF(AND($S$4="Multi",$R$4="FY"),ROUND(((1+$M20)^('W2'!$B$20+2)*'W2'!$E$9+(1+$M20)^('W2'!$B$20+3)*'W2'!$E$10)/12*'Subcontract 2'!$E20*'Subcontract 2'!H20,0),(IF(AND($S$4="Multi",$R$4="PY"),ROUND($E20*H20*((1+$M20)^2)/12*'W2'!$E$5,0),(IF(AND($S$4&lt;&gt;"Multi",$R$4="FY"),ROUND(((1+$S$4)^('W2'!$B$20+2)*'W2'!$E$9+(1+$S$4)^('W2'!$B$20+3)*'W2'!$E$10)/12*'Subcontract 2'!$E20*'Subcontract 2'!H20,0),ROUND($E20*H20*((1+$S$4)^2)/12*'W2'!$E$5,0))))))))</f>
        <v>0</v>
      </c>
      <c r="Q20" s="187">
        <f>IF('W2'!$C$4='W2'!$D$4,(IF(AND($S$4="Multi",$R$4="FY"),ROUND(((1+$M20)^('W2'!$B$20+2)*'W2'!$F$9+(1+$M20)^('W2'!$B$20+3)*'W2'!$F$10)/12*'Subcontract 2'!$E20*'Subcontract 2'!$I20,0),(IF(AND($S$4="Multi",$R$4="PY"),ROUND($E20*$I20*((1+$M20)^3)/12*'W2'!$F$5,0),(IF(AND($S$4&lt;&gt;"Multi",$R$4="FY"),ROUND(((1+$S$4)^('W2'!$B$20+2)*'W2'!$F$9+(1+$S$4)^('W2'!$B$20+3)*'W2'!$F$10)/12*'Subcontract 2'!$E20*'Subcontract 2'!$I20,0),ROUND($E20*$I20*((1+$S$4)^3)/12*'W2'!$F$5,0))))))),(IF(AND($S$4="Multi",$R$4="FY"),ROUND(((1+$M20)^('W2'!$B$20+3)*'W2'!$F$9+(1+$M20)^('W2'!$B$20+4)*'W2'!$F$10)/12*'Subcontract 2'!$E20*'Subcontract 2'!$I20,0),(IF(AND($S$4="Multi",$R$4="PY"),ROUND($E20*$I20*((1+$M20)^3)/12*'W2'!$F$5,0),(IF(AND($S$4&lt;&gt;"Multi",$R$4="FY"),ROUND(((1+$S$4)^('W2'!$B$20+3)*'W2'!$F$9+(1+$S$4)^('W2'!$B$20+4)*'W2'!$F$10)/12*'Subcontract 2'!$E20*'Subcontract 2'!$I20,0),ROUND($E20*$I20*((1+$S$4)^3)/12*'W2'!$F$5,0))))))))</f>
        <v>0</v>
      </c>
      <c r="R20" s="187">
        <f>IF('W2'!$C$4='W2'!$D$4,(IF(AND($S$4="Multi",$R$4="FY"),ROUND(((1+$M20)^('W2'!$B$20+3)*'W2'!$G$9+(1+$M20)^('W2'!$B$20+4)*'W2'!$G$10)/12*'Subcontract 2'!$E20*'Subcontract 2'!$J20,0),(IF(AND($S$4="Multi",$R$4="PY"),ROUND($E20*$J20*((1+$M20)^4)/12*'W2'!$G$5,0),(IF(AND($S$4&lt;&gt;"Multi",$R$4="FY"),ROUND(((1+$S$4)^('W2'!$B$20+3)*'W2'!$G$9+(1+$S$4)^('W2'!$B$20+4)*'W2'!$G$10)/12*'Subcontract 2'!$E20*'Subcontract 2'!$J20,0),ROUND($E20*$J20*((1+$S$4)^4)/12*'W2'!$G$5,0))))))),(IF(AND($S$4="Multi",$R$4="FY"),ROUND(((1+$M20)^('W2'!$B$20+4)*'W2'!$G$9+(1+$M20)^('W2'!$B$20+5)*'W2'!$G$10)/12*'Subcontract 2'!$E20*'Subcontract 2'!$J20,0),(IF(AND($S$4="Multi",$R$4="PY"),ROUND($E20*$J20*((1+$M20)^4)/12*'W2'!$G$5,0),(IF(AND($S$4&lt;&gt;"Multi",$R$4="FY"),ROUND(((1+$S$4)^('W2'!$B$20+4)*'W2'!$G$9+(1+$S$4)^('W2'!$B$20+5)*'W2'!$G$10)/12*'Subcontract 2'!$E20*'Subcontract 2'!$J20,0),ROUND($E20*$J20*((1+$S$4)^4)/12*'W2'!$G$5,0))))))))</f>
        <v>0</v>
      </c>
      <c r="S20" s="188">
        <f t="shared" si="2"/>
        <v>0</v>
      </c>
      <c r="T20" s="246"/>
      <c r="U20" s="246"/>
      <c r="V20" s="246"/>
      <c r="W20" s="246"/>
      <c r="X20" s="246"/>
      <c r="Y20" s="247"/>
      <c r="Z20" s="247"/>
      <c r="AA20" s="247"/>
      <c r="AB20" s="247"/>
      <c r="AC20" s="24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idden="1" x14ac:dyDescent="0.2">
      <c r="A21" s="192">
        <v>14</v>
      </c>
      <c r="B21" s="193"/>
      <c r="C21" s="193"/>
      <c r="D21" s="194"/>
      <c r="E21" s="195"/>
      <c r="F21" s="221"/>
      <c r="G21" s="221"/>
      <c r="H21" s="221"/>
      <c r="I21" s="221"/>
      <c r="J21" s="221"/>
      <c r="K21" s="190" t="s">
        <v>176</v>
      </c>
      <c r="L21" s="190">
        <v>12</v>
      </c>
      <c r="M21" s="191">
        <v>0.03</v>
      </c>
      <c r="N21" s="187">
        <f>IF(AND($S$4="Multi",$R$4="FY"),ROUND(((1+$M21)^'W2'!$B$20*'W2'!$C$9+(1+$M21)^('W2'!$B$20+1)*'W2'!$C$10)/12*'Subcontract 2'!$E21*'Subcontract 2'!$F21,0),(IF(AND($S$4="Multi",$R$4="PY"),ROUND(E21*F21/12*'W2'!$C$5,0),(IF(AND($S$4&lt;&gt;"Multi",$R$4="FY"),ROUND(((1+$S$4)^'W2'!$B$20*'W2'!$C$9+(1+$S$4)^('W2'!$B$20+1)*'W2'!$C$10)/12*'Subcontract 2'!$E21*'Subcontract 2'!$F21,0),ROUND($E21*$F21/12*'W2'!$C$5,0))))))</f>
        <v>0</v>
      </c>
      <c r="O21" s="187">
        <f>IF('W2'!$C$4='W2'!$D$4,(IF(AND($S$4="Multi",$R$4="FY"),ROUND(((1+$M21)^('W2'!$B$20)*'W2'!$D$9+(1+$M21)^('W2'!$B$20+1)*'W2'!$D$10)/12*'Subcontract 2'!$E21*'Subcontract 2'!$G21,0),(IF(AND($S$4="Multi",$R$4="PY"),ROUND($E21*$G21*(1+M21)/12*'W2'!$D$5,0),(IF(AND($S$4&lt;&gt;"Multi",$R$4="FY"),ROUND(((1+$S$4)^('W2'!$B$20)*'W2'!$D$9+(1+$S$4)^('W2'!$B$20+1)*'W2'!$D$10)/12*'Subcontract 2'!$E21*'Subcontract 2'!$G21,0),ROUND($E21*$G21*(1+$S$4)/12*'W2'!$D$5,0))))))),(IF(AND($S$4="Multi",$R$4="FY"),ROUND(((1+$M21)^('W2'!$B$20+1)*'W2'!$D$9+(1+$M21)^('W2'!$B$20+2)*'W2'!$D$10)/12*'Subcontract 2'!$E21*'Subcontract 2'!$G21,0),(IF(AND($S$4="Multi",$R$4="PY"),ROUND($E21*$G21*(1+M21)/12*'W2'!$D$5,0),(IF(AND($S$4&lt;&gt;"Multi",$R$4="FY"),ROUND(((1+$S$4)^('W2'!$B$20+1)*'W2'!$D$9+(1+$S$4)^('W2'!$B$20+2)*'W2'!$D$10)/12*'Subcontract 2'!$E21*'Subcontract 2'!$G21,0),ROUND($E21*$G21*(1+$S$4)/12*'W2'!$D$5,0))))))))</f>
        <v>0</v>
      </c>
      <c r="P21" s="187">
        <f>IF('W2'!$C$4='W2'!$D$4,(IF(AND($S$4="Multi",$R$4="FY"),ROUND(((1+$M21)^('W2'!$B$20+1)*'W2'!$E$9+(1+$M21)^('W2'!$B$20+2)*'W2'!$E$10)/12*'Subcontract 2'!$E21*'Subcontract 2'!H21,0),(IF(AND($S$4="Multi",$R$4="PY"),ROUND($E21*H21*((1+$M21)^2)/12*'W2'!$E$5,0),(IF(AND($S$4&lt;&gt;"Multi",$R$4="FY"),ROUND(((1+$S$4)^('W2'!$B$20+1)*'W2'!$E$9+(1+$S$4)^('W2'!$B$20+2)*'W2'!$E$10)/12*'Subcontract 2'!$E21*'Subcontract 2'!H21,0),ROUND($E21*H21*((1+$S$4)^2)/12*'W2'!$E$5,0))))))),(IF(AND($S$4="Multi",$R$4="FY"),ROUND(((1+$M21)^('W2'!$B$20+2)*'W2'!$E$9+(1+$M21)^('W2'!$B$20+3)*'W2'!$E$10)/12*'Subcontract 2'!$E21*'Subcontract 2'!H21,0),(IF(AND($S$4="Multi",$R$4="PY"),ROUND($E21*H21*((1+$M21)^2)/12*'W2'!$E$5,0),(IF(AND($S$4&lt;&gt;"Multi",$R$4="FY"),ROUND(((1+$S$4)^('W2'!$B$20+2)*'W2'!$E$9+(1+$S$4)^('W2'!$B$20+3)*'W2'!$E$10)/12*'Subcontract 2'!$E21*'Subcontract 2'!H21,0),ROUND($E21*H21*((1+$S$4)^2)/12*'W2'!$E$5,0))))))))</f>
        <v>0</v>
      </c>
      <c r="Q21" s="187">
        <f>IF('W2'!$C$4='W2'!$D$4,(IF(AND($S$4="Multi",$R$4="FY"),ROUND(((1+$M21)^('W2'!$B$20+2)*'W2'!$F$9+(1+$M21)^('W2'!$B$20+3)*'W2'!$F$10)/12*'Subcontract 2'!$E21*'Subcontract 2'!$I21,0),(IF(AND($S$4="Multi",$R$4="PY"),ROUND($E21*$I21*((1+$M21)^3)/12*'W2'!$F$5,0),(IF(AND($S$4&lt;&gt;"Multi",$R$4="FY"),ROUND(((1+$S$4)^('W2'!$B$20+2)*'W2'!$F$9+(1+$S$4)^('W2'!$B$20+3)*'W2'!$F$10)/12*'Subcontract 2'!$E21*'Subcontract 2'!$I21,0),ROUND($E21*$I21*((1+$S$4)^3)/12*'W2'!$F$5,0))))))),(IF(AND($S$4="Multi",$R$4="FY"),ROUND(((1+$M21)^('W2'!$B$20+3)*'W2'!$F$9+(1+$M21)^('W2'!$B$20+4)*'W2'!$F$10)/12*'Subcontract 2'!$E21*'Subcontract 2'!$I21,0),(IF(AND($S$4="Multi",$R$4="PY"),ROUND($E21*$I21*((1+$M21)^3)/12*'W2'!$F$5,0),(IF(AND($S$4&lt;&gt;"Multi",$R$4="FY"),ROUND(((1+$S$4)^('W2'!$B$20+3)*'W2'!$F$9+(1+$S$4)^('W2'!$B$20+4)*'W2'!$F$10)/12*'Subcontract 2'!$E21*'Subcontract 2'!$I21,0),ROUND($E21*$I21*((1+$S$4)^3)/12*'W2'!$F$5,0))))))))</f>
        <v>0</v>
      </c>
      <c r="R21" s="187">
        <f>IF('W2'!$C$4='W2'!$D$4,(IF(AND($S$4="Multi",$R$4="FY"),ROUND(((1+$M21)^('W2'!$B$20+3)*'W2'!$G$9+(1+$M21)^('W2'!$B$20+4)*'W2'!$G$10)/12*'Subcontract 2'!$E21*'Subcontract 2'!$J21,0),(IF(AND($S$4="Multi",$R$4="PY"),ROUND($E21*$J21*((1+$M21)^4)/12*'W2'!$G$5,0),(IF(AND($S$4&lt;&gt;"Multi",$R$4="FY"),ROUND(((1+$S$4)^('W2'!$B$20+3)*'W2'!$G$9+(1+$S$4)^('W2'!$B$20+4)*'W2'!$G$10)/12*'Subcontract 2'!$E21*'Subcontract 2'!$J21,0),ROUND($E21*$J21*((1+$S$4)^4)/12*'W2'!$G$5,0))))))),(IF(AND($S$4="Multi",$R$4="FY"),ROUND(((1+$M21)^('W2'!$B$20+4)*'W2'!$G$9+(1+$M21)^('W2'!$B$20+5)*'W2'!$G$10)/12*'Subcontract 2'!$E21*'Subcontract 2'!$J21,0),(IF(AND($S$4="Multi",$R$4="PY"),ROUND($E21*$J21*((1+$M21)^4)/12*'W2'!$G$5,0),(IF(AND($S$4&lt;&gt;"Multi",$R$4="FY"),ROUND(((1+$S$4)^('W2'!$B$20+4)*'W2'!$G$9+(1+$S$4)^('W2'!$B$20+5)*'W2'!$G$10)/12*'Subcontract 2'!$E21*'Subcontract 2'!$J21,0),ROUND($E21*$J21*((1+$S$4)^4)/12*'W2'!$G$5,0))))))))</f>
        <v>0</v>
      </c>
      <c r="S21" s="188">
        <f t="shared" si="2"/>
        <v>0</v>
      </c>
      <c r="T21" s="246"/>
      <c r="U21" s="246"/>
      <c r="V21" s="246"/>
      <c r="W21" s="246"/>
      <c r="X21" s="246"/>
      <c r="Y21" s="247"/>
      <c r="Z21" s="247"/>
      <c r="AA21" s="247"/>
      <c r="AB21" s="247"/>
      <c r="AC21" s="24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idden="1" x14ac:dyDescent="0.2">
      <c r="A22" s="192">
        <v>15</v>
      </c>
      <c r="B22" s="193"/>
      <c r="C22" s="193"/>
      <c r="D22" s="194"/>
      <c r="E22" s="195"/>
      <c r="F22" s="221"/>
      <c r="G22" s="221"/>
      <c r="H22" s="221"/>
      <c r="I22" s="221"/>
      <c r="J22" s="221"/>
      <c r="K22" s="190" t="s">
        <v>176</v>
      </c>
      <c r="L22" s="190">
        <v>12</v>
      </c>
      <c r="M22" s="191">
        <v>0.03</v>
      </c>
      <c r="N22" s="187">
        <f>IF(AND($S$4="Multi",$R$4="FY"),ROUND(((1+$M22)^'W2'!$B$20*'W2'!$C$9+(1+$M22)^('W2'!$B$20+1)*'W2'!$C$10)/12*'Subcontract 2'!$E22*'Subcontract 2'!$F22,0),(IF(AND($S$4="Multi",$R$4="PY"),ROUND(E22*F22/12*'W2'!$C$5,0),(IF(AND($S$4&lt;&gt;"Multi",$R$4="FY"),ROUND(((1+$S$4)^'W2'!$B$20*'W2'!$C$9+(1+$S$4)^('W2'!$B$20+1)*'W2'!$C$10)/12*'Subcontract 2'!$E22*'Subcontract 2'!$F22,0),ROUND($E22*$F22/12*'W2'!$C$5,0))))))</f>
        <v>0</v>
      </c>
      <c r="O22" s="187">
        <f>IF('W2'!$C$4='W2'!$D$4,(IF(AND($S$4="Multi",$R$4="FY"),ROUND(((1+$M22)^('W2'!$B$20)*'W2'!$D$9+(1+$M22)^('W2'!$B$20+1)*'W2'!$D$10)/12*'Subcontract 2'!$E22*'Subcontract 2'!$G22,0),(IF(AND($S$4="Multi",$R$4="PY"),ROUND($E22*$G22*(1+M22)/12*'W2'!$D$5,0),(IF(AND($S$4&lt;&gt;"Multi",$R$4="FY"),ROUND(((1+$S$4)^('W2'!$B$20)*'W2'!$D$9+(1+$S$4)^('W2'!$B$20+1)*'W2'!$D$10)/12*'Subcontract 2'!$E22*'Subcontract 2'!$G22,0),ROUND($E22*$G22*(1+$S$4)/12*'W2'!$D$5,0))))))),(IF(AND($S$4="Multi",$R$4="FY"),ROUND(((1+$M22)^('W2'!$B$20+1)*'W2'!$D$9+(1+$M22)^('W2'!$B$20+2)*'W2'!$D$10)/12*'Subcontract 2'!$E22*'Subcontract 2'!$G22,0),(IF(AND($S$4="Multi",$R$4="PY"),ROUND($E22*$G22*(1+M22)/12*'W2'!$D$5,0),(IF(AND($S$4&lt;&gt;"Multi",$R$4="FY"),ROUND(((1+$S$4)^('W2'!$B$20+1)*'W2'!$D$9+(1+$S$4)^('W2'!$B$20+2)*'W2'!$D$10)/12*'Subcontract 2'!$E22*'Subcontract 2'!$G22,0),ROUND($E22*$G22*(1+$S$4)/12*'W2'!$D$5,0))))))))</f>
        <v>0</v>
      </c>
      <c r="P22" s="187">
        <f>IF('W2'!$C$4='W2'!$D$4,(IF(AND($S$4="Multi",$R$4="FY"),ROUND(((1+$M22)^('W2'!$B$20+1)*'W2'!$E$9+(1+$M22)^('W2'!$B$20+2)*'W2'!$E$10)/12*'Subcontract 2'!$E22*'Subcontract 2'!H22,0),(IF(AND($S$4="Multi",$R$4="PY"),ROUND($E22*H22*((1+$M22)^2)/12*'W2'!$E$5,0),(IF(AND($S$4&lt;&gt;"Multi",$R$4="FY"),ROUND(((1+$S$4)^('W2'!$B$20+1)*'W2'!$E$9+(1+$S$4)^('W2'!$B$20+2)*'W2'!$E$10)/12*'Subcontract 2'!$E22*'Subcontract 2'!H22,0),ROUND($E22*H22*((1+$S$4)^2)/12*'W2'!$E$5,0))))))),(IF(AND($S$4="Multi",$R$4="FY"),ROUND(((1+$M22)^('W2'!$B$20+2)*'W2'!$E$9+(1+$M22)^('W2'!$B$20+3)*'W2'!$E$10)/12*'Subcontract 2'!$E22*'Subcontract 2'!H22,0),(IF(AND($S$4="Multi",$R$4="PY"),ROUND($E22*H22*((1+$M22)^2)/12*'W2'!$E$5,0),(IF(AND($S$4&lt;&gt;"Multi",$R$4="FY"),ROUND(((1+$S$4)^('W2'!$B$20+2)*'W2'!$E$9+(1+$S$4)^('W2'!$B$20+3)*'W2'!$E$10)/12*'Subcontract 2'!$E22*'Subcontract 2'!H22,0),ROUND($E22*H22*((1+$S$4)^2)/12*'W2'!$E$5,0))))))))</f>
        <v>0</v>
      </c>
      <c r="Q22" s="187">
        <f>IF('W2'!$C$4='W2'!$D$4,(IF(AND($S$4="Multi",$R$4="FY"),ROUND(((1+$M22)^('W2'!$B$20+2)*'W2'!$F$9+(1+$M22)^('W2'!$B$20+3)*'W2'!$F$10)/12*'Subcontract 2'!$E22*'Subcontract 2'!$I22,0),(IF(AND($S$4="Multi",$R$4="PY"),ROUND($E22*$I22*((1+$M22)^3)/12*'W2'!$F$5,0),(IF(AND($S$4&lt;&gt;"Multi",$R$4="FY"),ROUND(((1+$S$4)^('W2'!$B$20+2)*'W2'!$F$9+(1+$S$4)^('W2'!$B$20+3)*'W2'!$F$10)/12*'Subcontract 2'!$E22*'Subcontract 2'!$I22,0),ROUND($E22*$I22*((1+$S$4)^3)/12*'W2'!$F$5,0))))))),(IF(AND($S$4="Multi",$R$4="FY"),ROUND(((1+$M22)^('W2'!$B$20+3)*'W2'!$F$9+(1+$M22)^('W2'!$B$20+4)*'W2'!$F$10)/12*'Subcontract 2'!$E22*'Subcontract 2'!$I22,0),(IF(AND($S$4="Multi",$R$4="PY"),ROUND($E22*$I22*((1+$M22)^3)/12*'W2'!$F$5,0),(IF(AND($S$4&lt;&gt;"Multi",$R$4="FY"),ROUND(((1+$S$4)^('W2'!$B$20+3)*'W2'!$F$9+(1+$S$4)^('W2'!$B$20+4)*'W2'!$F$10)/12*'Subcontract 2'!$E22*'Subcontract 2'!$I22,0),ROUND($E22*$I22*((1+$S$4)^3)/12*'W2'!$F$5,0))))))))</f>
        <v>0</v>
      </c>
      <c r="R22" s="187">
        <f>IF('W2'!$C$4='W2'!$D$4,(IF(AND($S$4="Multi",$R$4="FY"),ROUND(((1+$M22)^('W2'!$B$20+3)*'W2'!$G$9+(1+$M22)^('W2'!$B$20+4)*'W2'!$G$10)/12*'Subcontract 2'!$E22*'Subcontract 2'!$J22,0),(IF(AND($S$4="Multi",$R$4="PY"),ROUND($E22*$J22*((1+$M22)^4)/12*'W2'!$G$5,0),(IF(AND($S$4&lt;&gt;"Multi",$R$4="FY"),ROUND(((1+$S$4)^('W2'!$B$20+3)*'W2'!$G$9+(1+$S$4)^('W2'!$B$20+4)*'W2'!$G$10)/12*'Subcontract 2'!$E22*'Subcontract 2'!$J22,0),ROUND($E22*$J22*((1+$S$4)^4)/12*'W2'!$G$5,0))))))),(IF(AND($S$4="Multi",$R$4="FY"),ROUND(((1+$M22)^('W2'!$B$20+4)*'W2'!$G$9+(1+$M22)^('W2'!$B$20+5)*'W2'!$G$10)/12*'Subcontract 2'!$E22*'Subcontract 2'!$J22,0),(IF(AND($S$4="Multi",$R$4="PY"),ROUND($E22*$J22*((1+$M22)^4)/12*'W2'!$G$5,0),(IF(AND($S$4&lt;&gt;"Multi",$R$4="FY"),ROUND(((1+$S$4)^('W2'!$B$20+4)*'W2'!$G$9+(1+$S$4)^('W2'!$B$20+5)*'W2'!$G$10)/12*'Subcontract 2'!$E22*'Subcontract 2'!$J22,0),ROUND($E22*$J22*((1+$S$4)^4)/12*'W2'!$G$5,0))))))))</f>
        <v>0</v>
      </c>
      <c r="S22" s="188">
        <f t="shared" si="2"/>
        <v>0</v>
      </c>
      <c r="T22" s="246"/>
      <c r="U22" s="246"/>
      <c r="V22" s="246"/>
      <c r="W22" s="246"/>
      <c r="X22" s="246"/>
      <c r="Y22" s="247"/>
      <c r="Z22" s="247"/>
      <c r="AA22" s="247"/>
      <c r="AB22" s="247"/>
      <c r="AC22" s="24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idden="1" x14ac:dyDescent="0.2">
      <c r="A23" s="192">
        <v>16</v>
      </c>
      <c r="B23" s="193"/>
      <c r="C23" s="193"/>
      <c r="D23" s="194"/>
      <c r="E23" s="195"/>
      <c r="F23" s="221"/>
      <c r="G23" s="221"/>
      <c r="H23" s="221"/>
      <c r="I23" s="221"/>
      <c r="J23" s="221"/>
      <c r="K23" s="190" t="s">
        <v>176</v>
      </c>
      <c r="L23" s="190">
        <v>12</v>
      </c>
      <c r="M23" s="191">
        <v>0.03</v>
      </c>
      <c r="N23" s="187">
        <f>IF(AND($S$4="Multi",$R$4="FY"),ROUND(((1+$M23)^'W2'!$B$20*'W2'!$C$9+(1+$M23)^('W2'!$B$20+1)*'W2'!$C$10)/12*'Subcontract 2'!$E23*'Subcontract 2'!$F23,0),(IF(AND($S$4="Multi",$R$4="PY"),ROUND(E23*F23/12*'W2'!$C$5,0),(IF(AND($S$4&lt;&gt;"Multi",$R$4="FY"),ROUND(((1+$S$4)^'W2'!$B$20*'W2'!$C$9+(1+$S$4)^('W2'!$B$20+1)*'W2'!$C$10)/12*'Subcontract 2'!$E23*'Subcontract 2'!$F23,0),ROUND($E23*$F23/12*'W2'!$C$5,0))))))</f>
        <v>0</v>
      </c>
      <c r="O23" s="187">
        <f>IF('W2'!$C$4='W2'!$D$4,(IF(AND($S$4="Multi",$R$4="FY"),ROUND(((1+$M23)^('W2'!$B$20)*'W2'!$D$9+(1+$M23)^('W2'!$B$20+1)*'W2'!$D$10)/12*'Subcontract 2'!$E23*'Subcontract 2'!$G23,0),(IF(AND($S$4="Multi",$R$4="PY"),ROUND($E23*$G23*(1+M23)/12*'W2'!$D$5,0),(IF(AND($S$4&lt;&gt;"Multi",$R$4="FY"),ROUND(((1+$S$4)^('W2'!$B$20)*'W2'!$D$9+(1+$S$4)^('W2'!$B$20+1)*'W2'!$D$10)/12*'Subcontract 2'!$E23*'Subcontract 2'!$G23,0),ROUND($E23*$G23*(1+$S$4)/12*'W2'!$D$5,0))))))),(IF(AND($S$4="Multi",$R$4="FY"),ROUND(((1+$M23)^('W2'!$B$20+1)*'W2'!$D$9+(1+$M23)^('W2'!$B$20+2)*'W2'!$D$10)/12*'Subcontract 2'!$E23*'Subcontract 2'!$G23,0),(IF(AND($S$4="Multi",$R$4="PY"),ROUND($E23*$G23*(1+M23)/12*'W2'!$D$5,0),(IF(AND($S$4&lt;&gt;"Multi",$R$4="FY"),ROUND(((1+$S$4)^('W2'!$B$20+1)*'W2'!$D$9+(1+$S$4)^('W2'!$B$20+2)*'W2'!$D$10)/12*'Subcontract 2'!$E23*'Subcontract 2'!$G23,0),ROUND($E23*$G23*(1+$S$4)/12*'W2'!$D$5,0))))))))</f>
        <v>0</v>
      </c>
      <c r="P23" s="187">
        <f>IF('W2'!$C$4='W2'!$D$4,(IF(AND($S$4="Multi",$R$4="FY"),ROUND(((1+$M23)^('W2'!$B$20+1)*'W2'!$E$9+(1+$M23)^('W2'!$B$20+2)*'W2'!$E$10)/12*'Subcontract 2'!$E23*'Subcontract 2'!H23,0),(IF(AND($S$4="Multi",$R$4="PY"),ROUND($E23*H23*((1+$M23)^2)/12*'W2'!$E$5,0),(IF(AND($S$4&lt;&gt;"Multi",$R$4="FY"),ROUND(((1+$S$4)^('W2'!$B$20+1)*'W2'!$E$9+(1+$S$4)^('W2'!$B$20+2)*'W2'!$E$10)/12*'Subcontract 2'!$E23*'Subcontract 2'!H23,0),ROUND($E23*H23*((1+$S$4)^2)/12*'W2'!$E$5,0))))))),(IF(AND($S$4="Multi",$R$4="FY"),ROUND(((1+$M23)^('W2'!$B$20+2)*'W2'!$E$9+(1+$M23)^('W2'!$B$20+3)*'W2'!$E$10)/12*'Subcontract 2'!$E23*'Subcontract 2'!H23,0),(IF(AND($S$4="Multi",$R$4="PY"),ROUND($E23*H23*((1+$M23)^2)/12*'W2'!$E$5,0),(IF(AND($S$4&lt;&gt;"Multi",$R$4="FY"),ROUND(((1+$S$4)^('W2'!$B$20+2)*'W2'!$E$9+(1+$S$4)^('W2'!$B$20+3)*'W2'!$E$10)/12*'Subcontract 2'!$E23*'Subcontract 2'!H23,0),ROUND($E23*H23*((1+$S$4)^2)/12*'W2'!$E$5,0))))))))</f>
        <v>0</v>
      </c>
      <c r="Q23" s="187">
        <f>IF('W2'!$C$4='W2'!$D$4,(IF(AND($S$4="Multi",$R$4="FY"),ROUND(((1+$M23)^('W2'!$B$20+2)*'W2'!$F$9+(1+$M23)^('W2'!$B$20+3)*'W2'!$F$10)/12*'Subcontract 2'!$E23*'Subcontract 2'!$I23,0),(IF(AND($S$4="Multi",$R$4="PY"),ROUND($E23*$I23*((1+$M23)^3)/12*'W2'!$F$5,0),(IF(AND($S$4&lt;&gt;"Multi",$R$4="FY"),ROUND(((1+$S$4)^('W2'!$B$20+2)*'W2'!$F$9+(1+$S$4)^('W2'!$B$20+3)*'W2'!$F$10)/12*'Subcontract 2'!$E23*'Subcontract 2'!$I23,0),ROUND($E23*$I23*((1+$S$4)^3)/12*'W2'!$F$5,0))))))),(IF(AND($S$4="Multi",$R$4="FY"),ROUND(((1+$M23)^('W2'!$B$20+3)*'W2'!$F$9+(1+$M23)^('W2'!$B$20+4)*'W2'!$F$10)/12*'Subcontract 2'!$E23*'Subcontract 2'!$I23,0),(IF(AND($S$4="Multi",$R$4="PY"),ROUND($E23*$I23*((1+$M23)^3)/12*'W2'!$F$5,0),(IF(AND($S$4&lt;&gt;"Multi",$R$4="FY"),ROUND(((1+$S$4)^('W2'!$B$20+3)*'W2'!$F$9+(1+$S$4)^('W2'!$B$20+4)*'W2'!$F$10)/12*'Subcontract 2'!$E23*'Subcontract 2'!$I23,0),ROUND($E23*$I23*((1+$S$4)^3)/12*'W2'!$F$5,0))))))))</f>
        <v>0</v>
      </c>
      <c r="R23" s="187">
        <f>IF('W2'!$C$4='W2'!$D$4,(IF(AND($S$4="Multi",$R$4="FY"),ROUND(((1+$M23)^('W2'!$B$20+3)*'W2'!$G$9+(1+$M23)^('W2'!$B$20+4)*'W2'!$G$10)/12*'Subcontract 2'!$E23*'Subcontract 2'!$J23,0),(IF(AND($S$4="Multi",$R$4="PY"),ROUND($E23*$J23*((1+$M23)^4)/12*'W2'!$G$5,0),(IF(AND($S$4&lt;&gt;"Multi",$R$4="FY"),ROUND(((1+$S$4)^('W2'!$B$20+3)*'W2'!$G$9+(1+$S$4)^('W2'!$B$20+4)*'W2'!$G$10)/12*'Subcontract 2'!$E23*'Subcontract 2'!$J23,0),ROUND($E23*$J23*((1+$S$4)^4)/12*'W2'!$G$5,0))))))),(IF(AND($S$4="Multi",$R$4="FY"),ROUND(((1+$M23)^('W2'!$B$20+4)*'W2'!$G$9+(1+$M23)^('W2'!$B$20+5)*'W2'!$G$10)/12*'Subcontract 2'!$E23*'Subcontract 2'!$J23,0),(IF(AND($S$4="Multi",$R$4="PY"),ROUND($E23*$J23*((1+$M23)^4)/12*'W2'!$G$5,0),(IF(AND($S$4&lt;&gt;"Multi",$R$4="FY"),ROUND(((1+$S$4)^('W2'!$B$20+4)*'W2'!$G$9+(1+$S$4)^('W2'!$B$20+5)*'W2'!$G$10)/12*'Subcontract 2'!$E23*'Subcontract 2'!$J23,0),ROUND($E23*$J23*((1+$S$4)^4)/12*'W2'!$G$5,0))))))))</f>
        <v>0</v>
      </c>
      <c r="S23" s="188">
        <f t="shared" si="2"/>
        <v>0</v>
      </c>
      <c r="T23" s="246"/>
      <c r="U23" s="246"/>
      <c r="V23" s="246"/>
      <c r="W23" s="246"/>
      <c r="X23" s="246"/>
      <c r="Y23" s="247"/>
      <c r="Z23" s="247"/>
      <c r="AA23" s="247"/>
      <c r="AB23" s="247"/>
      <c r="AC23" s="24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idden="1" x14ac:dyDescent="0.2">
      <c r="A24" s="192">
        <v>17</v>
      </c>
      <c r="B24" s="193"/>
      <c r="C24" s="193"/>
      <c r="D24" s="194"/>
      <c r="E24" s="195"/>
      <c r="F24" s="221"/>
      <c r="G24" s="221"/>
      <c r="H24" s="221"/>
      <c r="I24" s="221"/>
      <c r="J24" s="221"/>
      <c r="K24" s="190" t="s">
        <v>176</v>
      </c>
      <c r="L24" s="190">
        <v>12</v>
      </c>
      <c r="M24" s="191">
        <v>0.03</v>
      </c>
      <c r="N24" s="187">
        <f>IF(AND($S$4="Multi",$R$4="FY"),ROUND(((1+$M24)^'W2'!$B$20*'W2'!$C$9+(1+$M24)^('W2'!$B$20+1)*'W2'!$C$10)/12*'Subcontract 2'!$E24*'Subcontract 2'!$F24,0),(IF(AND($S$4="Multi",$R$4="PY"),ROUND(E24*F24/12*'W2'!$C$5,0),(IF(AND($S$4&lt;&gt;"Multi",$R$4="FY"),ROUND(((1+$S$4)^'W2'!$B$20*'W2'!$C$9+(1+$S$4)^('W2'!$B$20+1)*'W2'!$C$10)/12*'Subcontract 2'!$E24*'Subcontract 2'!$F24,0),ROUND($E24*$F24/12*'W2'!$C$5,0))))))</f>
        <v>0</v>
      </c>
      <c r="O24" s="187">
        <f>IF('W2'!$C$4='W2'!$D$4,(IF(AND($S$4="Multi",$R$4="FY"),ROUND(((1+$M24)^('W2'!$B$20)*'W2'!$D$9+(1+$M24)^('W2'!$B$20+1)*'W2'!$D$10)/12*'Subcontract 2'!$E24*'Subcontract 2'!$G24,0),(IF(AND($S$4="Multi",$R$4="PY"),ROUND($E24*$G24*(1+M24)/12*'W2'!$D$5,0),(IF(AND($S$4&lt;&gt;"Multi",$R$4="FY"),ROUND(((1+$S$4)^('W2'!$B$20)*'W2'!$D$9+(1+$S$4)^('W2'!$B$20+1)*'W2'!$D$10)/12*'Subcontract 2'!$E24*'Subcontract 2'!$G24,0),ROUND($E24*$G24*(1+$S$4)/12*'W2'!$D$5,0))))))),(IF(AND($S$4="Multi",$R$4="FY"),ROUND(((1+$M24)^('W2'!$B$20+1)*'W2'!$D$9+(1+$M24)^('W2'!$B$20+2)*'W2'!$D$10)/12*'Subcontract 2'!$E24*'Subcontract 2'!$G24,0),(IF(AND($S$4="Multi",$R$4="PY"),ROUND($E24*$G24*(1+M24)/12*'W2'!$D$5,0),(IF(AND($S$4&lt;&gt;"Multi",$R$4="FY"),ROUND(((1+$S$4)^('W2'!$B$20+1)*'W2'!$D$9+(1+$S$4)^('W2'!$B$20+2)*'W2'!$D$10)/12*'Subcontract 2'!$E24*'Subcontract 2'!$G24,0),ROUND($E24*$G24*(1+$S$4)/12*'W2'!$D$5,0))))))))</f>
        <v>0</v>
      </c>
      <c r="P24" s="187">
        <f>IF('W2'!$C$4='W2'!$D$4,(IF(AND($S$4="Multi",$R$4="FY"),ROUND(((1+$M24)^('W2'!$B$20+1)*'W2'!$E$9+(1+$M24)^('W2'!$B$20+2)*'W2'!$E$10)/12*'Subcontract 2'!$E24*'Subcontract 2'!H24,0),(IF(AND($S$4="Multi",$R$4="PY"),ROUND($E24*H24*((1+$M24)^2)/12*'W2'!$E$5,0),(IF(AND($S$4&lt;&gt;"Multi",$R$4="FY"),ROUND(((1+$S$4)^('W2'!$B$20+1)*'W2'!$E$9+(1+$S$4)^('W2'!$B$20+2)*'W2'!$E$10)/12*'Subcontract 2'!$E24*'Subcontract 2'!H24,0),ROUND($E24*H24*((1+$S$4)^2)/12*'W2'!$E$5,0))))))),(IF(AND($S$4="Multi",$R$4="FY"),ROUND(((1+$M24)^('W2'!$B$20+2)*'W2'!$E$9+(1+$M24)^('W2'!$B$20+3)*'W2'!$E$10)/12*'Subcontract 2'!$E24*'Subcontract 2'!H24,0),(IF(AND($S$4="Multi",$R$4="PY"),ROUND($E24*H24*((1+$M24)^2)/12*'W2'!$E$5,0),(IF(AND($S$4&lt;&gt;"Multi",$R$4="FY"),ROUND(((1+$S$4)^('W2'!$B$20+2)*'W2'!$E$9+(1+$S$4)^('W2'!$B$20+3)*'W2'!$E$10)/12*'Subcontract 2'!$E24*'Subcontract 2'!H24,0),ROUND($E24*H24*((1+$S$4)^2)/12*'W2'!$E$5,0))))))))</f>
        <v>0</v>
      </c>
      <c r="Q24" s="187">
        <f>IF('W2'!$C$4='W2'!$D$4,(IF(AND($S$4="Multi",$R$4="FY"),ROUND(((1+$M24)^('W2'!$B$20+2)*'W2'!$F$9+(1+$M24)^('W2'!$B$20+3)*'W2'!$F$10)/12*'Subcontract 2'!$E24*'Subcontract 2'!$I24,0),(IF(AND($S$4="Multi",$R$4="PY"),ROUND($E24*$I24*((1+$M24)^3)/12*'W2'!$F$5,0),(IF(AND($S$4&lt;&gt;"Multi",$R$4="FY"),ROUND(((1+$S$4)^('W2'!$B$20+2)*'W2'!$F$9+(1+$S$4)^('W2'!$B$20+3)*'W2'!$F$10)/12*'Subcontract 2'!$E24*'Subcontract 2'!$I24,0),ROUND($E24*$I24*((1+$S$4)^3)/12*'W2'!$F$5,0))))))),(IF(AND($S$4="Multi",$R$4="FY"),ROUND(((1+$M24)^('W2'!$B$20+3)*'W2'!$F$9+(1+$M24)^('W2'!$B$20+4)*'W2'!$F$10)/12*'Subcontract 2'!$E24*'Subcontract 2'!$I24,0),(IF(AND($S$4="Multi",$R$4="PY"),ROUND($E24*$I24*((1+$M24)^3)/12*'W2'!$F$5,0),(IF(AND($S$4&lt;&gt;"Multi",$R$4="FY"),ROUND(((1+$S$4)^('W2'!$B$20+3)*'W2'!$F$9+(1+$S$4)^('W2'!$B$20+4)*'W2'!$F$10)/12*'Subcontract 2'!$E24*'Subcontract 2'!$I24,0),ROUND($E24*$I24*((1+$S$4)^3)/12*'W2'!$F$5,0))))))))</f>
        <v>0</v>
      </c>
      <c r="R24" s="187">
        <f>IF('W2'!$C$4='W2'!$D$4,(IF(AND($S$4="Multi",$R$4="FY"),ROUND(((1+$M24)^('W2'!$B$20+3)*'W2'!$G$9+(1+$M24)^('W2'!$B$20+4)*'W2'!$G$10)/12*'Subcontract 2'!$E24*'Subcontract 2'!$J24,0),(IF(AND($S$4="Multi",$R$4="PY"),ROUND($E24*$J24*((1+$M24)^4)/12*'W2'!$G$5,0),(IF(AND($S$4&lt;&gt;"Multi",$R$4="FY"),ROUND(((1+$S$4)^('W2'!$B$20+3)*'W2'!$G$9+(1+$S$4)^('W2'!$B$20+4)*'W2'!$G$10)/12*'Subcontract 2'!$E24*'Subcontract 2'!$J24,0),ROUND($E24*$J24*((1+$S$4)^4)/12*'W2'!$G$5,0))))))),(IF(AND($S$4="Multi",$R$4="FY"),ROUND(((1+$M24)^('W2'!$B$20+4)*'W2'!$G$9+(1+$M24)^('W2'!$B$20+5)*'W2'!$G$10)/12*'Subcontract 2'!$E24*'Subcontract 2'!$J24,0),(IF(AND($S$4="Multi",$R$4="PY"),ROUND($E24*$J24*((1+$M24)^4)/12*'W2'!$G$5,0),(IF(AND($S$4&lt;&gt;"Multi",$R$4="FY"),ROUND(((1+$S$4)^('W2'!$B$20+4)*'W2'!$G$9+(1+$S$4)^('W2'!$B$20+5)*'W2'!$G$10)/12*'Subcontract 2'!$E24*'Subcontract 2'!$J24,0),ROUND($E24*$J24*((1+$S$4)^4)/12*'W2'!$G$5,0))))))))</f>
        <v>0</v>
      </c>
      <c r="S24" s="188">
        <f t="shared" si="2"/>
        <v>0</v>
      </c>
      <c r="T24" s="246"/>
      <c r="U24" s="246"/>
      <c r="V24" s="246"/>
      <c r="W24" s="246"/>
      <c r="X24" s="246"/>
      <c r="Y24" s="247"/>
      <c r="Z24" s="247"/>
      <c r="AA24" s="247"/>
      <c r="AB24" s="247"/>
      <c r="AC24" s="24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idden="1" x14ac:dyDescent="0.2">
      <c r="A25" s="192">
        <v>18</v>
      </c>
      <c r="B25" s="193"/>
      <c r="C25" s="193"/>
      <c r="D25" s="194"/>
      <c r="E25" s="195"/>
      <c r="F25" s="221"/>
      <c r="G25" s="221"/>
      <c r="H25" s="221"/>
      <c r="I25" s="221"/>
      <c r="J25" s="221"/>
      <c r="K25" s="190" t="s">
        <v>176</v>
      </c>
      <c r="L25" s="190">
        <v>12</v>
      </c>
      <c r="M25" s="191">
        <v>0.03</v>
      </c>
      <c r="N25" s="187">
        <f>IF(AND($S$4="Multi",$R$4="FY"),ROUND(((1+$M25)^'W2'!$B$20*'W2'!$C$9+(1+$M25)^('W2'!$B$20+1)*'W2'!$C$10)/12*'Subcontract 2'!$E25*'Subcontract 2'!$F25,0),(IF(AND($S$4="Multi",$R$4="PY"),ROUND(E25*F25/12*'W2'!$C$5,0),(IF(AND($S$4&lt;&gt;"Multi",$R$4="FY"),ROUND(((1+$S$4)^'W2'!$B$20*'W2'!$C$9+(1+$S$4)^('W2'!$B$20+1)*'W2'!$C$10)/12*'Subcontract 2'!$E25*'Subcontract 2'!$F25,0),ROUND($E25*$F25/12*'W2'!$C$5,0))))))</f>
        <v>0</v>
      </c>
      <c r="O25" s="187">
        <f>IF('W2'!$C$4='W2'!$D$4,(IF(AND($S$4="Multi",$R$4="FY"),ROUND(((1+$M25)^('W2'!$B$20)*'W2'!$D$9+(1+$M25)^('W2'!$B$20+1)*'W2'!$D$10)/12*'Subcontract 2'!$E25*'Subcontract 2'!$G25,0),(IF(AND($S$4="Multi",$R$4="PY"),ROUND($E25*$G25*(1+M25)/12*'W2'!$D$5,0),(IF(AND($S$4&lt;&gt;"Multi",$R$4="FY"),ROUND(((1+$S$4)^('W2'!$B$20)*'W2'!$D$9+(1+$S$4)^('W2'!$B$20+1)*'W2'!$D$10)/12*'Subcontract 2'!$E25*'Subcontract 2'!$G25,0),ROUND($E25*$G25*(1+$S$4)/12*'W2'!$D$5,0))))))),(IF(AND($S$4="Multi",$R$4="FY"),ROUND(((1+$M25)^('W2'!$B$20+1)*'W2'!$D$9+(1+$M25)^('W2'!$B$20+2)*'W2'!$D$10)/12*'Subcontract 2'!$E25*'Subcontract 2'!$G25,0),(IF(AND($S$4="Multi",$R$4="PY"),ROUND($E25*$G25*(1+M25)/12*'W2'!$D$5,0),(IF(AND($S$4&lt;&gt;"Multi",$R$4="FY"),ROUND(((1+$S$4)^('W2'!$B$20+1)*'W2'!$D$9+(1+$S$4)^('W2'!$B$20+2)*'W2'!$D$10)/12*'Subcontract 2'!$E25*'Subcontract 2'!$G25,0),ROUND($E25*$G25*(1+$S$4)/12*'W2'!$D$5,0))))))))</f>
        <v>0</v>
      </c>
      <c r="P25" s="187">
        <f>IF('W2'!$C$4='W2'!$D$4,(IF(AND($S$4="Multi",$R$4="FY"),ROUND(((1+$M25)^('W2'!$B$20+1)*'W2'!$E$9+(1+$M25)^('W2'!$B$20+2)*'W2'!$E$10)/12*'Subcontract 2'!$E25*'Subcontract 2'!H25,0),(IF(AND($S$4="Multi",$R$4="PY"),ROUND($E25*H25*((1+$M25)^2)/12*'W2'!$E$5,0),(IF(AND($S$4&lt;&gt;"Multi",$R$4="FY"),ROUND(((1+$S$4)^('W2'!$B$20+1)*'W2'!$E$9+(1+$S$4)^('W2'!$B$20+2)*'W2'!$E$10)/12*'Subcontract 2'!$E25*'Subcontract 2'!H25,0),ROUND($E25*H25*((1+$S$4)^2)/12*'W2'!$E$5,0))))))),(IF(AND($S$4="Multi",$R$4="FY"),ROUND(((1+$M25)^('W2'!$B$20+2)*'W2'!$E$9+(1+$M25)^('W2'!$B$20+3)*'W2'!$E$10)/12*'Subcontract 2'!$E25*'Subcontract 2'!H25,0),(IF(AND($S$4="Multi",$R$4="PY"),ROUND($E25*H25*((1+$M25)^2)/12*'W2'!$E$5,0),(IF(AND($S$4&lt;&gt;"Multi",$R$4="FY"),ROUND(((1+$S$4)^('W2'!$B$20+2)*'W2'!$E$9+(1+$S$4)^('W2'!$B$20+3)*'W2'!$E$10)/12*'Subcontract 2'!$E25*'Subcontract 2'!H25,0),ROUND($E25*H25*((1+$S$4)^2)/12*'W2'!$E$5,0))))))))</f>
        <v>0</v>
      </c>
      <c r="Q25" s="187">
        <f>IF('W2'!$C$4='W2'!$D$4,(IF(AND($S$4="Multi",$R$4="FY"),ROUND(((1+$M25)^('W2'!$B$20+2)*'W2'!$F$9+(1+$M25)^('W2'!$B$20+3)*'W2'!$F$10)/12*'Subcontract 2'!$E25*'Subcontract 2'!$I25,0),(IF(AND($S$4="Multi",$R$4="PY"),ROUND($E25*$I25*((1+$M25)^3)/12*'W2'!$F$5,0),(IF(AND($S$4&lt;&gt;"Multi",$R$4="FY"),ROUND(((1+$S$4)^('W2'!$B$20+2)*'W2'!$F$9+(1+$S$4)^('W2'!$B$20+3)*'W2'!$F$10)/12*'Subcontract 2'!$E25*'Subcontract 2'!$I25,0),ROUND($E25*$I25*((1+$S$4)^3)/12*'W2'!$F$5,0))))))),(IF(AND($S$4="Multi",$R$4="FY"),ROUND(((1+$M25)^('W2'!$B$20+3)*'W2'!$F$9+(1+$M25)^('W2'!$B$20+4)*'W2'!$F$10)/12*'Subcontract 2'!$E25*'Subcontract 2'!$I25,0),(IF(AND($S$4="Multi",$R$4="PY"),ROUND($E25*$I25*((1+$M25)^3)/12*'W2'!$F$5,0),(IF(AND($S$4&lt;&gt;"Multi",$R$4="FY"),ROUND(((1+$S$4)^('W2'!$B$20+3)*'W2'!$F$9+(1+$S$4)^('W2'!$B$20+4)*'W2'!$F$10)/12*'Subcontract 2'!$E25*'Subcontract 2'!$I25,0),ROUND($E25*$I25*((1+$S$4)^3)/12*'W2'!$F$5,0))))))))</f>
        <v>0</v>
      </c>
      <c r="R25" s="187">
        <f>IF('W2'!$C$4='W2'!$D$4,(IF(AND($S$4="Multi",$R$4="FY"),ROUND(((1+$M25)^('W2'!$B$20+3)*'W2'!$G$9+(1+$M25)^('W2'!$B$20+4)*'W2'!$G$10)/12*'Subcontract 2'!$E25*'Subcontract 2'!$J25,0),(IF(AND($S$4="Multi",$R$4="PY"),ROUND($E25*$J25*((1+$M25)^4)/12*'W2'!$G$5,0),(IF(AND($S$4&lt;&gt;"Multi",$R$4="FY"),ROUND(((1+$S$4)^('W2'!$B$20+3)*'W2'!$G$9+(1+$S$4)^('W2'!$B$20+4)*'W2'!$G$10)/12*'Subcontract 2'!$E25*'Subcontract 2'!$J25,0),ROUND($E25*$J25*((1+$S$4)^4)/12*'W2'!$G$5,0))))))),(IF(AND($S$4="Multi",$R$4="FY"),ROUND(((1+$M25)^('W2'!$B$20+4)*'W2'!$G$9+(1+$M25)^('W2'!$B$20+5)*'W2'!$G$10)/12*'Subcontract 2'!$E25*'Subcontract 2'!$J25,0),(IF(AND($S$4="Multi",$R$4="PY"),ROUND($E25*$J25*((1+$M25)^4)/12*'W2'!$G$5,0),(IF(AND($S$4&lt;&gt;"Multi",$R$4="FY"),ROUND(((1+$S$4)^('W2'!$B$20+4)*'W2'!$G$9+(1+$S$4)^('W2'!$B$20+5)*'W2'!$G$10)/12*'Subcontract 2'!$E25*'Subcontract 2'!$J25,0),ROUND($E25*$J25*((1+$S$4)^4)/12*'W2'!$G$5,0))))))))</f>
        <v>0</v>
      </c>
      <c r="S25" s="188">
        <f t="shared" si="2"/>
        <v>0</v>
      </c>
      <c r="T25" s="246"/>
      <c r="U25" s="246"/>
      <c r="V25" s="246"/>
      <c r="W25" s="246"/>
      <c r="X25" s="246"/>
      <c r="Y25" s="247"/>
      <c r="Z25" s="247"/>
      <c r="AA25" s="247"/>
      <c r="AB25" s="247"/>
      <c r="AC25" s="24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idden="1" x14ac:dyDescent="0.2">
      <c r="A26" s="192">
        <v>19</v>
      </c>
      <c r="B26" s="193"/>
      <c r="C26" s="193"/>
      <c r="D26" s="194"/>
      <c r="E26" s="195"/>
      <c r="F26" s="221"/>
      <c r="G26" s="221"/>
      <c r="H26" s="221"/>
      <c r="I26" s="221"/>
      <c r="J26" s="221"/>
      <c r="K26" s="190" t="s">
        <v>176</v>
      </c>
      <c r="L26" s="190">
        <v>12</v>
      </c>
      <c r="M26" s="191">
        <v>0.03</v>
      </c>
      <c r="N26" s="187">
        <f>IF(AND($S$4="Multi",$R$4="FY"),ROUND(((1+$M26)^'W2'!$B$20*'W2'!$C$9+(1+$M26)^('W2'!$B$20+1)*'W2'!$C$10)/12*'Subcontract 2'!$E26*'Subcontract 2'!$F26,0),(IF(AND($S$4="Multi",$R$4="PY"),ROUND(E26*F26/12*'W2'!$C$5,0),(IF(AND($S$4&lt;&gt;"Multi",$R$4="FY"),ROUND(((1+$S$4)^'W2'!$B$20*'W2'!$C$9+(1+$S$4)^('W2'!$B$20+1)*'W2'!$C$10)/12*'Subcontract 2'!$E26*'Subcontract 2'!$F26,0),ROUND($E26*$F26/12*'W2'!$C$5,0))))))</f>
        <v>0</v>
      </c>
      <c r="O26" s="187">
        <f>IF('W2'!$C$4='W2'!$D$4,(IF(AND($S$4="Multi",$R$4="FY"),ROUND(((1+$M26)^('W2'!$B$20)*'W2'!$D$9+(1+$M26)^('W2'!$B$20+1)*'W2'!$D$10)/12*'Subcontract 2'!$E26*'Subcontract 2'!$G26,0),(IF(AND($S$4="Multi",$R$4="PY"),ROUND($E26*$G26*(1+M26)/12*'W2'!$D$5,0),(IF(AND($S$4&lt;&gt;"Multi",$R$4="FY"),ROUND(((1+$S$4)^('W2'!$B$20)*'W2'!$D$9+(1+$S$4)^('W2'!$B$20+1)*'W2'!$D$10)/12*'Subcontract 2'!$E26*'Subcontract 2'!$G26,0),ROUND($E26*$G26*(1+$S$4)/12*'W2'!$D$5,0))))))),(IF(AND($S$4="Multi",$R$4="FY"),ROUND(((1+$M26)^('W2'!$B$20+1)*'W2'!$D$9+(1+$M26)^('W2'!$B$20+2)*'W2'!$D$10)/12*'Subcontract 2'!$E26*'Subcontract 2'!$G26,0),(IF(AND($S$4="Multi",$R$4="PY"),ROUND($E26*$G26*(1+M26)/12*'W2'!$D$5,0),(IF(AND($S$4&lt;&gt;"Multi",$R$4="FY"),ROUND(((1+$S$4)^('W2'!$B$20+1)*'W2'!$D$9+(1+$S$4)^('W2'!$B$20+2)*'W2'!$D$10)/12*'Subcontract 2'!$E26*'Subcontract 2'!$G26,0),ROUND($E26*$G26*(1+$S$4)/12*'W2'!$D$5,0))))))))</f>
        <v>0</v>
      </c>
      <c r="P26" s="187">
        <f>IF('W2'!$C$4='W2'!$D$4,(IF(AND($S$4="Multi",$R$4="FY"),ROUND(((1+$M26)^('W2'!$B$20+1)*'W2'!$E$9+(1+$M26)^('W2'!$B$20+2)*'W2'!$E$10)/12*'Subcontract 2'!$E26*'Subcontract 2'!H26,0),(IF(AND($S$4="Multi",$R$4="PY"),ROUND($E26*H26*((1+$M26)^2)/12*'W2'!$E$5,0),(IF(AND($S$4&lt;&gt;"Multi",$R$4="FY"),ROUND(((1+$S$4)^('W2'!$B$20+1)*'W2'!$E$9+(1+$S$4)^('W2'!$B$20+2)*'W2'!$E$10)/12*'Subcontract 2'!$E26*'Subcontract 2'!H26,0),ROUND($E26*H26*((1+$S$4)^2)/12*'W2'!$E$5,0))))))),(IF(AND($S$4="Multi",$R$4="FY"),ROUND(((1+$M26)^('W2'!$B$20+2)*'W2'!$E$9+(1+$M26)^('W2'!$B$20+3)*'W2'!$E$10)/12*'Subcontract 2'!$E26*'Subcontract 2'!H26,0),(IF(AND($S$4="Multi",$R$4="PY"),ROUND($E26*H26*((1+$M26)^2)/12*'W2'!$E$5,0),(IF(AND($S$4&lt;&gt;"Multi",$R$4="FY"),ROUND(((1+$S$4)^('W2'!$B$20+2)*'W2'!$E$9+(1+$S$4)^('W2'!$B$20+3)*'W2'!$E$10)/12*'Subcontract 2'!$E26*'Subcontract 2'!H26,0),ROUND($E26*H26*((1+$S$4)^2)/12*'W2'!$E$5,0))))))))</f>
        <v>0</v>
      </c>
      <c r="Q26" s="187">
        <f>IF('W2'!$C$4='W2'!$D$4,(IF(AND($S$4="Multi",$R$4="FY"),ROUND(((1+$M26)^('W2'!$B$20+2)*'W2'!$F$9+(1+$M26)^('W2'!$B$20+3)*'W2'!$F$10)/12*'Subcontract 2'!$E26*'Subcontract 2'!$I26,0),(IF(AND($S$4="Multi",$R$4="PY"),ROUND($E26*$I26*((1+$M26)^3)/12*'W2'!$F$5,0),(IF(AND($S$4&lt;&gt;"Multi",$R$4="FY"),ROUND(((1+$S$4)^('W2'!$B$20+2)*'W2'!$F$9+(1+$S$4)^('W2'!$B$20+3)*'W2'!$F$10)/12*'Subcontract 2'!$E26*'Subcontract 2'!$I26,0),ROUND($E26*$I26*((1+$S$4)^3)/12*'W2'!$F$5,0))))))),(IF(AND($S$4="Multi",$R$4="FY"),ROUND(((1+$M26)^('W2'!$B$20+3)*'W2'!$F$9+(1+$M26)^('W2'!$B$20+4)*'W2'!$F$10)/12*'Subcontract 2'!$E26*'Subcontract 2'!$I26,0),(IF(AND($S$4="Multi",$R$4="PY"),ROUND($E26*$I26*((1+$M26)^3)/12*'W2'!$F$5,0),(IF(AND($S$4&lt;&gt;"Multi",$R$4="FY"),ROUND(((1+$S$4)^('W2'!$B$20+3)*'W2'!$F$9+(1+$S$4)^('W2'!$B$20+4)*'W2'!$F$10)/12*'Subcontract 2'!$E26*'Subcontract 2'!$I26,0),ROUND($E26*$I26*((1+$S$4)^3)/12*'W2'!$F$5,0))))))))</f>
        <v>0</v>
      </c>
      <c r="R26" s="187">
        <f>IF('W2'!$C$4='W2'!$D$4,(IF(AND($S$4="Multi",$R$4="FY"),ROUND(((1+$M26)^('W2'!$B$20+3)*'W2'!$G$9+(1+$M26)^('W2'!$B$20+4)*'W2'!$G$10)/12*'Subcontract 2'!$E26*'Subcontract 2'!$J26,0),(IF(AND($S$4="Multi",$R$4="PY"),ROUND($E26*$J26*((1+$M26)^4)/12*'W2'!$G$5,0),(IF(AND($S$4&lt;&gt;"Multi",$R$4="FY"),ROUND(((1+$S$4)^('W2'!$B$20+3)*'W2'!$G$9+(1+$S$4)^('W2'!$B$20+4)*'W2'!$G$10)/12*'Subcontract 2'!$E26*'Subcontract 2'!$J26,0),ROUND($E26*$J26*((1+$S$4)^4)/12*'W2'!$G$5,0))))))),(IF(AND($S$4="Multi",$R$4="FY"),ROUND(((1+$M26)^('W2'!$B$20+4)*'W2'!$G$9+(1+$M26)^('W2'!$B$20+5)*'W2'!$G$10)/12*'Subcontract 2'!$E26*'Subcontract 2'!$J26,0),(IF(AND($S$4="Multi",$R$4="PY"),ROUND($E26*$J26*((1+$M26)^4)/12*'W2'!$G$5,0),(IF(AND($S$4&lt;&gt;"Multi",$R$4="FY"),ROUND(((1+$S$4)^('W2'!$B$20+4)*'W2'!$G$9+(1+$S$4)^('W2'!$B$20+5)*'W2'!$G$10)/12*'Subcontract 2'!$E26*'Subcontract 2'!$J26,0),ROUND($E26*$J26*((1+$S$4)^4)/12*'W2'!$G$5,0))))))))</f>
        <v>0</v>
      </c>
      <c r="S26" s="188">
        <f t="shared" si="2"/>
        <v>0</v>
      </c>
      <c r="T26" s="246"/>
      <c r="U26" s="246"/>
      <c r="V26" s="246"/>
      <c r="W26" s="246"/>
      <c r="X26" s="246"/>
      <c r="Y26" s="247"/>
      <c r="Z26" s="247"/>
      <c r="AA26" s="247"/>
      <c r="AB26" s="247"/>
      <c r="AC26" s="24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idden="1" x14ac:dyDescent="0.2">
      <c r="A27" s="192">
        <v>20</v>
      </c>
      <c r="B27" s="193"/>
      <c r="C27" s="193"/>
      <c r="D27" s="194"/>
      <c r="E27" s="195"/>
      <c r="F27" s="221"/>
      <c r="G27" s="221"/>
      <c r="H27" s="221"/>
      <c r="I27" s="221"/>
      <c r="J27" s="221"/>
      <c r="K27" s="190" t="s">
        <v>176</v>
      </c>
      <c r="L27" s="190">
        <v>12</v>
      </c>
      <c r="M27" s="191">
        <v>0.03</v>
      </c>
      <c r="N27" s="187">
        <f>IF(AND($S$4="Multi",$R$4="FY"),ROUND(((1+$M27)^'W2'!$B$20*'W2'!$C$9+(1+$M27)^('W2'!$B$20+1)*'W2'!$C$10)/12*'Subcontract 2'!$E27*'Subcontract 2'!$F27,0),(IF(AND($S$4="Multi",$R$4="PY"),ROUND(E27*F27/12*'W2'!$C$5,0),(IF(AND($S$4&lt;&gt;"Multi",$R$4="FY"),ROUND(((1+$S$4)^'W2'!$B$20*'W2'!$C$9+(1+$S$4)^('W2'!$B$20+1)*'W2'!$C$10)/12*'Subcontract 2'!$E27*'Subcontract 2'!$F27,0),ROUND($E27*$F27/12*'W2'!$C$5,0))))))</f>
        <v>0</v>
      </c>
      <c r="O27" s="187">
        <f>IF('W2'!$C$4='W2'!$D$4,(IF(AND($S$4="Multi",$R$4="FY"),ROUND(((1+$M27)^('W2'!$B$20)*'W2'!$D$9+(1+$M27)^('W2'!$B$20+1)*'W2'!$D$10)/12*'Subcontract 2'!$E27*'Subcontract 2'!$G27,0),(IF(AND($S$4="Multi",$R$4="PY"),ROUND($E27*$G27*(1+M27)/12*'W2'!$D$5,0),(IF(AND($S$4&lt;&gt;"Multi",$R$4="FY"),ROUND(((1+$S$4)^('W2'!$B$20)*'W2'!$D$9+(1+$S$4)^('W2'!$B$20+1)*'W2'!$D$10)/12*'Subcontract 2'!$E27*'Subcontract 2'!$G27,0),ROUND($E27*$G27*(1+$S$4)/12*'W2'!$D$5,0))))))),(IF(AND($S$4="Multi",$R$4="FY"),ROUND(((1+$M27)^('W2'!$B$20+1)*'W2'!$D$9+(1+$M27)^('W2'!$B$20+2)*'W2'!$D$10)/12*'Subcontract 2'!$E27*'Subcontract 2'!$G27,0),(IF(AND($S$4="Multi",$R$4="PY"),ROUND($E27*$G27*(1+M27)/12*'W2'!$D$5,0),(IF(AND($S$4&lt;&gt;"Multi",$R$4="FY"),ROUND(((1+$S$4)^('W2'!$B$20+1)*'W2'!$D$9+(1+$S$4)^('W2'!$B$20+2)*'W2'!$D$10)/12*'Subcontract 2'!$E27*'Subcontract 2'!$G27,0),ROUND($E27*$G27*(1+$S$4)/12*'W2'!$D$5,0))))))))</f>
        <v>0</v>
      </c>
      <c r="P27" s="187">
        <f>IF('W2'!$C$4='W2'!$D$4,(IF(AND($S$4="Multi",$R$4="FY"),ROUND(((1+$M27)^('W2'!$B$20+1)*'W2'!$E$9+(1+$M27)^('W2'!$B$20+2)*'W2'!$E$10)/12*'Subcontract 2'!$E27*'Subcontract 2'!H27,0),(IF(AND($S$4="Multi",$R$4="PY"),ROUND($E27*H27*((1+$M27)^2)/12*'W2'!$E$5,0),(IF(AND($S$4&lt;&gt;"Multi",$R$4="FY"),ROUND(((1+$S$4)^('W2'!$B$20+1)*'W2'!$E$9+(1+$S$4)^('W2'!$B$20+2)*'W2'!$E$10)/12*'Subcontract 2'!$E27*'Subcontract 2'!H27,0),ROUND($E27*H27*((1+$S$4)^2)/12*'W2'!$E$5,0))))))),(IF(AND($S$4="Multi",$R$4="FY"),ROUND(((1+$M27)^('W2'!$B$20+2)*'W2'!$E$9+(1+$M27)^('W2'!$B$20+3)*'W2'!$E$10)/12*'Subcontract 2'!$E27*'Subcontract 2'!H27,0),(IF(AND($S$4="Multi",$R$4="PY"),ROUND($E27*H27*((1+$M27)^2)/12*'W2'!$E$5,0),(IF(AND($S$4&lt;&gt;"Multi",$R$4="FY"),ROUND(((1+$S$4)^('W2'!$B$20+2)*'W2'!$E$9+(1+$S$4)^('W2'!$B$20+3)*'W2'!$E$10)/12*'Subcontract 2'!$E27*'Subcontract 2'!H27,0),ROUND($E27*H27*((1+$S$4)^2)/12*'W2'!$E$5,0))))))))</f>
        <v>0</v>
      </c>
      <c r="Q27" s="187">
        <f>IF('W2'!$C$4='W2'!$D$4,(IF(AND($S$4="Multi",$R$4="FY"),ROUND(((1+$M27)^('W2'!$B$20+2)*'W2'!$F$9+(1+$M27)^('W2'!$B$20+3)*'W2'!$F$10)/12*'Subcontract 2'!$E27*'Subcontract 2'!$I27,0),(IF(AND($S$4="Multi",$R$4="PY"),ROUND($E27*$I27*((1+$M27)^3)/12*'W2'!$F$5,0),(IF(AND($S$4&lt;&gt;"Multi",$R$4="FY"),ROUND(((1+$S$4)^('W2'!$B$20+2)*'W2'!$F$9+(1+$S$4)^('W2'!$B$20+3)*'W2'!$F$10)/12*'Subcontract 2'!$E27*'Subcontract 2'!$I27,0),ROUND($E27*$I27*((1+$S$4)^3)/12*'W2'!$F$5,0))))))),(IF(AND($S$4="Multi",$R$4="FY"),ROUND(((1+$M27)^('W2'!$B$20+3)*'W2'!$F$9+(1+$M27)^('W2'!$B$20+4)*'W2'!$F$10)/12*'Subcontract 2'!$E27*'Subcontract 2'!$I27,0),(IF(AND($S$4="Multi",$R$4="PY"),ROUND($E27*$I27*((1+$M27)^3)/12*'W2'!$F$5,0),(IF(AND($S$4&lt;&gt;"Multi",$R$4="FY"),ROUND(((1+$S$4)^('W2'!$B$20+3)*'W2'!$F$9+(1+$S$4)^('W2'!$B$20+4)*'W2'!$F$10)/12*'Subcontract 2'!$E27*'Subcontract 2'!$I27,0),ROUND($E27*$I27*((1+$S$4)^3)/12*'W2'!$F$5,0))))))))</f>
        <v>0</v>
      </c>
      <c r="R27" s="187">
        <f>IF('W2'!$C$4='W2'!$D$4,(IF(AND($S$4="Multi",$R$4="FY"),ROUND(((1+$M27)^('W2'!$B$20+3)*'W2'!$G$9+(1+$M27)^('W2'!$B$20+4)*'W2'!$G$10)/12*'Subcontract 2'!$E27*'Subcontract 2'!$J27,0),(IF(AND($S$4="Multi",$R$4="PY"),ROUND($E27*$J27*((1+$M27)^4)/12*'W2'!$G$5,0),(IF(AND($S$4&lt;&gt;"Multi",$R$4="FY"),ROUND(((1+$S$4)^('W2'!$B$20+3)*'W2'!$G$9+(1+$S$4)^('W2'!$B$20+4)*'W2'!$G$10)/12*'Subcontract 2'!$E27*'Subcontract 2'!$J27,0),ROUND($E27*$J27*((1+$S$4)^4)/12*'W2'!$G$5,0))))))),(IF(AND($S$4="Multi",$R$4="FY"),ROUND(((1+$M27)^('W2'!$B$20+4)*'W2'!$G$9+(1+$M27)^('W2'!$B$20+5)*'W2'!$G$10)/12*'Subcontract 2'!$E27*'Subcontract 2'!$J27,0),(IF(AND($S$4="Multi",$R$4="PY"),ROUND($E27*$J27*((1+$M27)^4)/12*'W2'!$G$5,0),(IF(AND($S$4&lt;&gt;"Multi",$R$4="FY"),ROUND(((1+$S$4)^('W2'!$B$20+4)*'W2'!$G$9+(1+$S$4)^('W2'!$B$20+5)*'W2'!$G$10)/12*'Subcontract 2'!$E27*'Subcontract 2'!$J27,0),ROUND($E27*$J27*((1+$S$4)^4)/12*'W2'!$G$5,0))))))))</f>
        <v>0</v>
      </c>
      <c r="S27" s="188">
        <f t="shared" si="2"/>
        <v>0</v>
      </c>
      <c r="T27" s="246"/>
      <c r="U27" s="246"/>
      <c r="V27" s="246"/>
      <c r="W27" s="246"/>
      <c r="X27" s="246"/>
      <c r="Y27" s="247"/>
      <c r="Z27" s="247"/>
      <c r="AA27" s="247"/>
      <c r="AB27" s="247"/>
      <c r="AC27" s="24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idden="1" x14ac:dyDescent="0.2">
      <c r="A28" s="192">
        <v>21</v>
      </c>
      <c r="B28" s="193"/>
      <c r="C28" s="193"/>
      <c r="D28" s="194"/>
      <c r="E28" s="195"/>
      <c r="F28" s="221"/>
      <c r="G28" s="221"/>
      <c r="H28" s="221"/>
      <c r="I28" s="221"/>
      <c r="J28" s="221"/>
      <c r="K28" s="190" t="s">
        <v>176</v>
      </c>
      <c r="L28" s="190">
        <v>12</v>
      </c>
      <c r="M28" s="191">
        <v>0.03</v>
      </c>
      <c r="N28" s="187">
        <f>IF(AND($S$4="Multi",$R$4="FY"),ROUND(((1+$M28)^'W2'!$B$20*'W2'!$C$9+(1+$M28)^('W2'!$B$20+1)*'W2'!$C$10)/12*'Subcontract 2'!$E28*'Subcontract 2'!$F28,0),(IF(AND($S$4="Multi",$R$4="PY"),ROUND(E28*F28/12*'W2'!$C$5,0),(IF(AND($S$4&lt;&gt;"Multi",$R$4="FY"),ROUND(((1+$S$4)^'W2'!$B$20*'W2'!$C$9+(1+$S$4)^('W2'!$B$20+1)*'W2'!$C$10)/12*'Subcontract 2'!$E28*'Subcontract 2'!$F28,0),ROUND($E28*$F28/12*'W2'!$C$5,0))))))</f>
        <v>0</v>
      </c>
      <c r="O28" s="187">
        <f>IF('W2'!$C$4='W2'!$D$4,(IF(AND($S$4="Multi",$R$4="FY"),ROUND(((1+$M28)^('W2'!$B$20)*'W2'!$D$9+(1+$M28)^('W2'!$B$20+1)*'W2'!$D$10)/12*'Subcontract 2'!$E28*'Subcontract 2'!$G28,0),(IF(AND($S$4="Multi",$R$4="PY"),ROUND($E28*$G28*(1+M28)/12*'W2'!$D$5,0),(IF(AND($S$4&lt;&gt;"Multi",$R$4="FY"),ROUND(((1+$S$4)^('W2'!$B$20)*'W2'!$D$9+(1+$S$4)^('W2'!$B$20+1)*'W2'!$D$10)/12*'Subcontract 2'!$E28*'Subcontract 2'!$G28,0),ROUND($E28*$G28*(1+$S$4)/12*'W2'!$D$5,0))))))),(IF(AND($S$4="Multi",$R$4="FY"),ROUND(((1+$M28)^('W2'!$B$20+1)*'W2'!$D$9+(1+$M28)^('W2'!$B$20+2)*'W2'!$D$10)/12*'Subcontract 2'!$E28*'Subcontract 2'!$G28,0),(IF(AND($S$4="Multi",$R$4="PY"),ROUND($E28*$G28*(1+M28)/12*'W2'!$D$5,0),(IF(AND($S$4&lt;&gt;"Multi",$R$4="FY"),ROUND(((1+$S$4)^('W2'!$B$20+1)*'W2'!$D$9+(1+$S$4)^('W2'!$B$20+2)*'W2'!$D$10)/12*'Subcontract 2'!$E28*'Subcontract 2'!$G28,0),ROUND($E28*$G28*(1+$S$4)/12*'W2'!$D$5,0))))))))</f>
        <v>0</v>
      </c>
      <c r="P28" s="187">
        <f>IF('W2'!$C$4='W2'!$D$4,(IF(AND($S$4="Multi",$R$4="FY"),ROUND(((1+$M28)^('W2'!$B$20+1)*'W2'!$E$9+(1+$M28)^('W2'!$B$20+2)*'W2'!$E$10)/12*'Subcontract 2'!$E28*'Subcontract 2'!H28,0),(IF(AND($S$4="Multi",$R$4="PY"),ROUND($E28*H28*((1+$M28)^2)/12*'W2'!$E$5,0),(IF(AND($S$4&lt;&gt;"Multi",$R$4="FY"),ROUND(((1+$S$4)^('W2'!$B$20+1)*'W2'!$E$9+(1+$S$4)^('W2'!$B$20+2)*'W2'!$E$10)/12*'Subcontract 2'!$E28*'Subcontract 2'!H28,0),ROUND($E28*H28*((1+$S$4)^2)/12*'W2'!$E$5,0))))))),(IF(AND($S$4="Multi",$R$4="FY"),ROUND(((1+$M28)^('W2'!$B$20+2)*'W2'!$E$9+(1+$M28)^('W2'!$B$20+3)*'W2'!$E$10)/12*'Subcontract 2'!$E28*'Subcontract 2'!H28,0),(IF(AND($S$4="Multi",$R$4="PY"),ROUND($E28*H28*((1+$M28)^2)/12*'W2'!$E$5,0),(IF(AND($S$4&lt;&gt;"Multi",$R$4="FY"),ROUND(((1+$S$4)^('W2'!$B$20+2)*'W2'!$E$9+(1+$S$4)^('W2'!$B$20+3)*'W2'!$E$10)/12*'Subcontract 2'!$E28*'Subcontract 2'!H28,0),ROUND($E28*H28*((1+$S$4)^2)/12*'W2'!$E$5,0))))))))</f>
        <v>0</v>
      </c>
      <c r="Q28" s="187">
        <f>IF('W2'!$C$4='W2'!$D$4,(IF(AND($S$4="Multi",$R$4="FY"),ROUND(((1+$M28)^('W2'!$B$20+2)*'W2'!$F$9+(1+$M28)^('W2'!$B$20+3)*'W2'!$F$10)/12*'Subcontract 2'!$E28*'Subcontract 2'!$I28,0),(IF(AND($S$4="Multi",$R$4="PY"),ROUND($E28*$I28*((1+$M28)^3)/12*'W2'!$F$5,0),(IF(AND($S$4&lt;&gt;"Multi",$R$4="FY"),ROUND(((1+$S$4)^('W2'!$B$20+2)*'W2'!$F$9+(1+$S$4)^('W2'!$B$20+3)*'W2'!$F$10)/12*'Subcontract 2'!$E28*'Subcontract 2'!$I28,0),ROUND($E28*$I28*((1+$S$4)^3)/12*'W2'!$F$5,0))))))),(IF(AND($S$4="Multi",$R$4="FY"),ROUND(((1+$M28)^('W2'!$B$20+3)*'W2'!$F$9+(1+$M28)^('W2'!$B$20+4)*'W2'!$F$10)/12*'Subcontract 2'!$E28*'Subcontract 2'!$I28,0),(IF(AND($S$4="Multi",$R$4="PY"),ROUND($E28*$I28*((1+$M28)^3)/12*'W2'!$F$5,0),(IF(AND($S$4&lt;&gt;"Multi",$R$4="FY"),ROUND(((1+$S$4)^('W2'!$B$20+3)*'W2'!$F$9+(1+$S$4)^('W2'!$B$20+4)*'W2'!$F$10)/12*'Subcontract 2'!$E28*'Subcontract 2'!$I28,0),ROUND($E28*$I28*((1+$S$4)^3)/12*'W2'!$F$5,0))))))))</f>
        <v>0</v>
      </c>
      <c r="R28" s="187">
        <f>IF('W2'!$C$4='W2'!$D$4,(IF(AND($S$4="Multi",$R$4="FY"),ROUND(((1+$M28)^('W2'!$B$20+3)*'W2'!$G$9+(1+$M28)^('W2'!$B$20+4)*'W2'!$G$10)/12*'Subcontract 2'!$E28*'Subcontract 2'!$J28,0),(IF(AND($S$4="Multi",$R$4="PY"),ROUND($E28*$J28*((1+$M28)^4)/12*'W2'!$G$5,0),(IF(AND($S$4&lt;&gt;"Multi",$R$4="FY"),ROUND(((1+$S$4)^('W2'!$B$20+3)*'W2'!$G$9+(1+$S$4)^('W2'!$B$20+4)*'W2'!$G$10)/12*'Subcontract 2'!$E28*'Subcontract 2'!$J28,0),ROUND($E28*$J28*((1+$S$4)^4)/12*'W2'!$G$5,0))))))),(IF(AND($S$4="Multi",$R$4="FY"),ROUND(((1+$M28)^('W2'!$B$20+4)*'W2'!$G$9+(1+$M28)^('W2'!$B$20+5)*'W2'!$G$10)/12*'Subcontract 2'!$E28*'Subcontract 2'!$J28,0),(IF(AND($S$4="Multi",$R$4="PY"),ROUND($E28*$J28*((1+$M28)^4)/12*'W2'!$G$5,0),(IF(AND($S$4&lt;&gt;"Multi",$R$4="FY"),ROUND(((1+$S$4)^('W2'!$B$20+4)*'W2'!$G$9+(1+$S$4)^('W2'!$B$20+5)*'W2'!$G$10)/12*'Subcontract 2'!$E28*'Subcontract 2'!$J28,0),ROUND($E28*$J28*((1+$S$4)^4)/12*'W2'!$G$5,0))))))))</f>
        <v>0</v>
      </c>
      <c r="S28" s="188">
        <f t="shared" si="2"/>
        <v>0</v>
      </c>
      <c r="T28" s="246"/>
      <c r="U28" s="246"/>
      <c r="V28" s="246"/>
      <c r="W28" s="246"/>
      <c r="X28" s="246"/>
      <c r="Y28" s="247"/>
      <c r="Z28" s="247"/>
      <c r="AA28" s="247"/>
      <c r="AB28" s="247"/>
      <c r="AC28" s="24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idden="1" x14ac:dyDescent="0.2">
      <c r="A29" s="192">
        <v>22</v>
      </c>
      <c r="B29" s="193"/>
      <c r="C29" s="193"/>
      <c r="D29" s="194"/>
      <c r="E29" s="195"/>
      <c r="F29" s="221"/>
      <c r="G29" s="221"/>
      <c r="H29" s="221"/>
      <c r="I29" s="221"/>
      <c r="J29" s="221"/>
      <c r="K29" s="190" t="s">
        <v>176</v>
      </c>
      <c r="L29" s="190">
        <v>12</v>
      </c>
      <c r="M29" s="191">
        <v>0.03</v>
      </c>
      <c r="N29" s="187">
        <f>IF(AND($S$4="Multi",$R$4="FY"),ROUND(((1+$M29)^'W2'!$B$20*'W2'!$C$9+(1+$M29)^('W2'!$B$20+1)*'W2'!$C$10)/12*'Subcontract 2'!$E29*'Subcontract 2'!$F29,0),(IF(AND($S$4="Multi",$R$4="PY"),ROUND(E29*F29/12*'W2'!$C$5,0),(IF(AND($S$4&lt;&gt;"Multi",$R$4="FY"),ROUND(((1+$S$4)^'W2'!$B$20*'W2'!$C$9+(1+$S$4)^('W2'!$B$20+1)*'W2'!$C$10)/12*'Subcontract 2'!$E29*'Subcontract 2'!$F29,0),ROUND($E29*$F29/12*'W2'!$C$5,0))))))</f>
        <v>0</v>
      </c>
      <c r="O29" s="187">
        <f>IF('W2'!$C$4='W2'!$D$4,(IF(AND($S$4="Multi",$R$4="FY"),ROUND(((1+$M29)^('W2'!$B$20)*'W2'!$D$9+(1+$M29)^('W2'!$B$20+1)*'W2'!$D$10)/12*'Subcontract 2'!$E29*'Subcontract 2'!$G29,0),(IF(AND($S$4="Multi",$R$4="PY"),ROUND($E29*$G29*(1+M29)/12*'W2'!$D$5,0),(IF(AND($S$4&lt;&gt;"Multi",$R$4="FY"),ROUND(((1+$S$4)^('W2'!$B$20)*'W2'!$D$9+(1+$S$4)^('W2'!$B$20+1)*'W2'!$D$10)/12*'Subcontract 2'!$E29*'Subcontract 2'!$G29,0),ROUND($E29*$G29*(1+$S$4)/12*'W2'!$D$5,0))))))),(IF(AND($S$4="Multi",$R$4="FY"),ROUND(((1+$M29)^('W2'!$B$20+1)*'W2'!$D$9+(1+$M29)^('W2'!$B$20+2)*'W2'!$D$10)/12*'Subcontract 2'!$E29*'Subcontract 2'!$G29,0),(IF(AND($S$4="Multi",$R$4="PY"),ROUND($E29*$G29*(1+M29)/12*'W2'!$D$5,0),(IF(AND($S$4&lt;&gt;"Multi",$R$4="FY"),ROUND(((1+$S$4)^('W2'!$B$20+1)*'W2'!$D$9+(1+$S$4)^('W2'!$B$20+2)*'W2'!$D$10)/12*'Subcontract 2'!$E29*'Subcontract 2'!$G29,0),ROUND($E29*$G29*(1+$S$4)/12*'W2'!$D$5,0))))))))</f>
        <v>0</v>
      </c>
      <c r="P29" s="187">
        <f>IF('W2'!$C$4='W2'!$D$4,(IF(AND($S$4="Multi",$R$4="FY"),ROUND(((1+$M29)^('W2'!$B$20+1)*'W2'!$E$9+(1+$M29)^('W2'!$B$20+2)*'W2'!$E$10)/12*'Subcontract 2'!$E29*'Subcontract 2'!H29,0),(IF(AND($S$4="Multi",$R$4="PY"),ROUND($E29*H29*((1+$M29)^2)/12*'W2'!$E$5,0),(IF(AND($S$4&lt;&gt;"Multi",$R$4="FY"),ROUND(((1+$S$4)^('W2'!$B$20+1)*'W2'!$E$9+(1+$S$4)^('W2'!$B$20+2)*'W2'!$E$10)/12*'Subcontract 2'!$E29*'Subcontract 2'!H29,0),ROUND($E29*H29*((1+$S$4)^2)/12*'W2'!$E$5,0))))))),(IF(AND($S$4="Multi",$R$4="FY"),ROUND(((1+$M29)^('W2'!$B$20+2)*'W2'!$E$9+(1+$M29)^('W2'!$B$20+3)*'W2'!$E$10)/12*'Subcontract 2'!$E29*'Subcontract 2'!H29,0),(IF(AND($S$4="Multi",$R$4="PY"),ROUND($E29*H29*((1+$M29)^2)/12*'W2'!$E$5,0),(IF(AND($S$4&lt;&gt;"Multi",$R$4="FY"),ROUND(((1+$S$4)^('W2'!$B$20+2)*'W2'!$E$9+(1+$S$4)^('W2'!$B$20+3)*'W2'!$E$10)/12*'Subcontract 2'!$E29*'Subcontract 2'!H29,0),ROUND($E29*H29*((1+$S$4)^2)/12*'W2'!$E$5,0))))))))</f>
        <v>0</v>
      </c>
      <c r="Q29" s="187">
        <f>IF('W2'!$C$4='W2'!$D$4,(IF(AND($S$4="Multi",$R$4="FY"),ROUND(((1+$M29)^('W2'!$B$20+2)*'W2'!$F$9+(1+$M29)^('W2'!$B$20+3)*'W2'!$F$10)/12*'Subcontract 2'!$E29*'Subcontract 2'!$I29,0),(IF(AND($S$4="Multi",$R$4="PY"),ROUND($E29*$I29*((1+$M29)^3)/12*'W2'!$F$5,0),(IF(AND($S$4&lt;&gt;"Multi",$R$4="FY"),ROUND(((1+$S$4)^('W2'!$B$20+2)*'W2'!$F$9+(1+$S$4)^('W2'!$B$20+3)*'W2'!$F$10)/12*'Subcontract 2'!$E29*'Subcontract 2'!$I29,0),ROUND($E29*$I29*((1+$S$4)^3)/12*'W2'!$F$5,0))))))),(IF(AND($S$4="Multi",$R$4="FY"),ROUND(((1+$M29)^('W2'!$B$20+3)*'W2'!$F$9+(1+$M29)^('W2'!$B$20+4)*'W2'!$F$10)/12*'Subcontract 2'!$E29*'Subcontract 2'!$I29,0),(IF(AND($S$4="Multi",$R$4="PY"),ROUND($E29*$I29*((1+$M29)^3)/12*'W2'!$F$5,0),(IF(AND($S$4&lt;&gt;"Multi",$R$4="FY"),ROUND(((1+$S$4)^('W2'!$B$20+3)*'W2'!$F$9+(1+$S$4)^('W2'!$B$20+4)*'W2'!$F$10)/12*'Subcontract 2'!$E29*'Subcontract 2'!$I29,0),ROUND($E29*$I29*((1+$S$4)^3)/12*'W2'!$F$5,0))))))))</f>
        <v>0</v>
      </c>
      <c r="R29" s="187">
        <f>IF('W2'!$C$4='W2'!$D$4,(IF(AND($S$4="Multi",$R$4="FY"),ROUND(((1+$M29)^('W2'!$B$20+3)*'W2'!$G$9+(1+$M29)^('W2'!$B$20+4)*'W2'!$G$10)/12*'Subcontract 2'!$E29*'Subcontract 2'!$J29,0),(IF(AND($S$4="Multi",$R$4="PY"),ROUND($E29*$J29*((1+$M29)^4)/12*'W2'!$G$5,0),(IF(AND($S$4&lt;&gt;"Multi",$R$4="FY"),ROUND(((1+$S$4)^('W2'!$B$20+3)*'W2'!$G$9+(1+$S$4)^('W2'!$B$20+4)*'W2'!$G$10)/12*'Subcontract 2'!$E29*'Subcontract 2'!$J29,0),ROUND($E29*$J29*((1+$S$4)^4)/12*'W2'!$G$5,0))))))),(IF(AND($S$4="Multi",$R$4="FY"),ROUND(((1+$M29)^('W2'!$B$20+4)*'W2'!$G$9+(1+$M29)^('W2'!$B$20+5)*'W2'!$G$10)/12*'Subcontract 2'!$E29*'Subcontract 2'!$J29,0),(IF(AND($S$4="Multi",$R$4="PY"),ROUND($E29*$J29*((1+$M29)^4)/12*'W2'!$G$5,0),(IF(AND($S$4&lt;&gt;"Multi",$R$4="FY"),ROUND(((1+$S$4)^('W2'!$B$20+4)*'W2'!$G$9+(1+$S$4)^('W2'!$B$20+5)*'W2'!$G$10)/12*'Subcontract 2'!$E29*'Subcontract 2'!$J29,0),ROUND($E29*$J29*((1+$S$4)^4)/12*'W2'!$G$5,0))))))))</f>
        <v>0</v>
      </c>
      <c r="S29" s="188">
        <f t="shared" si="2"/>
        <v>0</v>
      </c>
      <c r="T29" s="246"/>
      <c r="U29" s="246"/>
      <c r="V29" s="246"/>
      <c r="W29" s="246"/>
      <c r="X29" s="246"/>
      <c r="Y29" s="247"/>
      <c r="Z29" s="247"/>
      <c r="AA29" s="247"/>
      <c r="AB29" s="247"/>
      <c r="AC29" s="24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idden="1" x14ac:dyDescent="0.2">
      <c r="A30" s="192">
        <v>23</v>
      </c>
      <c r="B30" s="193"/>
      <c r="C30" s="193"/>
      <c r="D30" s="194"/>
      <c r="E30" s="195"/>
      <c r="F30" s="221"/>
      <c r="G30" s="221"/>
      <c r="H30" s="221"/>
      <c r="I30" s="221"/>
      <c r="J30" s="221"/>
      <c r="K30" s="190" t="s">
        <v>176</v>
      </c>
      <c r="L30" s="190">
        <v>12</v>
      </c>
      <c r="M30" s="191">
        <v>0.03</v>
      </c>
      <c r="N30" s="187">
        <f>IF(AND($S$4="Multi",$R$4="FY"),ROUND(((1+$M30)^'W2'!$B$20*'W2'!$C$9+(1+$M30)^('W2'!$B$20+1)*'W2'!$C$10)/12*'Subcontract 2'!$E30*'Subcontract 2'!$F30,0),(IF(AND($S$4="Multi",$R$4="PY"),ROUND(E30*F30/12*'W2'!$C$5,0),(IF(AND($S$4&lt;&gt;"Multi",$R$4="FY"),ROUND(((1+$S$4)^'W2'!$B$20*'W2'!$C$9+(1+$S$4)^('W2'!$B$20+1)*'W2'!$C$10)/12*'Subcontract 2'!$E30*'Subcontract 2'!$F30,0),ROUND($E30*$F30/12*'W2'!$C$5,0))))))</f>
        <v>0</v>
      </c>
      <c r="O30" s="187">
        <f>IF('W2'!$C$4='W2'!$D$4,(IF(AND($S$4="Multi",$R$4="FY"),ROUND(((1+$M30)^('W2'!$B$20)*'W2'!$D$9+(1+$M30)^('W2'!$B$20+1)*'W2'!$D$10)/12*'Subcontract 2'!$E30*'Subcontract 2'!$G30,0),(IF(AND($S$4="Multi",$R$4="PY"),ROUND($E30*$G30*(1+M30)/12*'W2'!$D$5,0),(IF(AND($S$4&lt;&gt;"Multi",$R$4="FY"),ROUND(((1+$S$4)^('W2'!$B$20)*'W2'!$D$9+(1+$S$4)^('W2'!$B$20+1)*'W2'!$D$10)/12*'Subcontract 2'!$E30*'Subcontract 2'!$G30,0),ROUND($E30*$G30*(1+$S$4)/12*'W2'!$D$5,0))))))),(IF(AND($S$4="Multi",$R$4="FY"),ROUND(((1+$M30)^('W2'!$B$20+1)*'W2'!$D$9+(1+$M30)^('W2'!$B$20+2)*'W2'!$D$10)/12*'Subcontract 2'!$E30*'Subcontract 2'!$G30,0),(IF(AND($S$4="Multi",$R$4="PY"),ROUND($E30*$G30*(1+M30)/12*'W2'!$D$5,0),(IF(AND($S$4&lt;&gt;"Multi",$R$4="FY"),ROUND(((1+$S$4)^('W2'!$B$20+1)*'W2'!$D$9+(1+$S$4)^('W2'!$B$20+2)*'W2'!$D$10)/12*'Subcontract 2'!$E30*'Subcontract 2'!$G30,0),ROUND($E30*$G30*(1+$S$4)/12*'W2'!$D$5,0))))))))</f>
        <v>0</v>
      </c>
      <c r="P30" s="187">
        <f>IF('W2'!$C$4='W2'!$D$4,(IF(AND($S$4="Multi",$R$4="FY"),ROUND(((1+$M30)^('W2'!$B$20+1)*'W2'!$E$9+(1+$M30)^('W2'!$B$20+2)*'W2'!$E$10)/12*'Subcontract 2'!$E30*'Subcontract 2'!H30,0),(IF(AND($S$4="Multi",$R$4="PY"),ROUND($E30*H30*((1+$M30)^2)/12*'W2'!$E$5,0),(IF(AND($S$4&lt;&gt;"Multi",$R$4="FY"),ROUND(((1+$S$4)^('W2'!$B$20+1)*'W2'!$E$9+(1+$S$4)^('W2'!$B$20+2)*'W2'!$E$10)/12*'Subcontract 2'!$E30*'Subcontract 2'!H30,0),ROUND($E30*H30*((1+$S$4)^2)/12*'W2'!$E$5,0))))))),(IF(AND($S$4="Multi",$R$4="FY"),ROUND(((1+$M30)^('W2'!$B$20+2)*'W2'!$E$9+(1+$M30)^('W2'!$B$20+3)*'W2'!$E$10)/12*'Subcontract 2'!$E30*'Subcontract 2'!H30,0),(IF(AND($S$4="Multi",$R$4="PY"),ROUND($E30*H30*((1+$M30)^2)/12*'W2'!$E$5,0),(IF(AND($S$4&lt;&gt;"Multi",$R$4="FY"),ROUND(((1+$S$4)^('W2'!$B$20+2)*'W2'!$E$9+(1+$S$4)^('W2'!$B$20+3)*'W2'!$E$10)/12*'Subcontract 2'!$E30*'Subcontract 2'!H30,0),ROUND($E30*H30*((1+$S$4)^2)/12*'W2'!$E$5,0))))))))</f>
        <v>0</v>
      </c>
      <c r="Q30" s="187">
        <f>IF('W2'!$C$4='W2'!$D$4,(IF(AND($S$4="Multi",$R$4="FY"),ROUND(((1+$M30)^('W2'!$B$20+2)*'W2'!$F$9+(1+$M30)^('W2'!$B$20+3)*'W2'!$F$10)/12*'Subcontract 2'!$E30*'Subcontract 2'!$I30,0),(IF(AND($S$4="Multi",$R$4="PY"),ROUND($E30*$I30*((1+$M30)^3)/12*'W2'!$F$5,0),(IF(AND($S$4&lt;&gt;"Multi",$R$4="FY"),ROUND(((1+$S$4)^('W2'!$B$20+2)*'W2'!$F$9+(1+$S$4)^('W2'!$B$20+3)*'W2'!$F$10)/12*'Subcontract 2'!$E30*'Subcontract 2'!$I30,0),ROUND($E30*$I30*((1+$S$4)^3)/12*'W2'!$F$5,0))))))),(IF(AND($S$4="Multi",$R$4="FY"),ROUND(((1+$M30)^('W2'!$B$20+3)*'W2'!$F$9+(1+$M30)^('W2'!$B$20+4)*'W2'!$F$10)/12*'Subcontract 2'!$E30*'Subcontract 2'!$I30,0),(IF(AND($S$4="Multi",$R$4="PY"),ROUND($E30*$I30*((1+$M30)^3)/12*'W2'!$F$5,0),(IF(AND($S$4&lt;&gt;"Multi",$R$4="FY"),ROUND(((1+$S$4)^('W2'!$B$20+3)*'W2'!$F$9+(1+$S$4)^('W2'!$B$20+4)*'W2'!$F$10)/12*'Subcontract 2'!$E30*'Subcontract 2'!$I30,0),ROUND($E30*$I30*((1+$S$4)^3)/12*'W2'!$F$5,0))))))))</f>
        <v>0</v>
      </c>
      <c r="R30" s="187">
        <f>IF('W2'!$C$4='W2'!$D$4,(IF(AND($S$4="Multi",$R$4="FY"),ROUND(((1+$M30)^('W2'!$B$20+3)*'W2'!$G$9+(1+$M30)^('W2'!$B$20+4)*'W2'!$G$10)/12*'Subcontract 2'!$E30*'Subcontract 2'!$J30,0),(IF(AND($S$4="Multi",$R$4="PY"),ROUND($E30*$J30*((1+$M30)^4)/12*'W2'!$G$5,0),(IF(AND($S$4&lt;&gt;"Multi",$R$4="FY"),ROUND(((1+$S$4)^('W2'!$B$20+3)*'W2'!$G$9+(1+$S$4)^('W2'!$B$20+4)*'W2'!$G$10)/12*'Subcontract 2'!$E30*'Subcontract 2'!$J30,0),ROUND($E30*$J30*((1+$S$4)^4)/12*'W2'!$G$5,0))))))),(IF(AND($S$4="Multi",$R$4="FY"),ROUND(((1+$M30)^('W2'!$B$20+4)*'W2'!$G$9+(1+$M30)^('W2'!$B$20+5)*'W2'!$G$10)/12*'Subcontract 2'!$E30*'Subcontract 2'!$J30,0),(IF(AND($S$4="Multi",$R$4="PY"),ROUND($E30*$J30*((1+$M30)^4)/12*'W2'!$G$5,0),(IF(AND($S$4&lt;&gt;"Multi",$R$4="FY"),ROUND(((1+$S$4)^('W2'!$B$20+4)*'W2'!$G$9+(1+$S$4)^('W2'!$B$20+5)*'W2'!$G$10)/12*'Subcontract 2'!$E30*'Subcontract 2'!$J30,0),ROUND($E30*$J30*((1+$S$4)^4)/12*'W2'!$G$5,0))))))))</f>
        <v>0</v>
      </c>
      <c r="S30" s="188">
        <f t="shared" si="2"/>
        <v>0</v>
      </c>
      <c r="T30" s="246"/>
      <c r="U30" s="246"/>
      <c r="V30" s="246"/>
      <c r="W30" s="246"/>
      <c r="X30" s="246"/>
      <c r="Y30" s="247"/>
      <c r="Z30" s="247"/>
      <c r="AA30" s="247"/>
      <c r="AB30" s="247"/>
      <c r="AC30" s="24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idden="1" x14ac:dyDescent="0.2">
      <c r="A31" s="192">
        <v>24</v>
      </c>
      <c r="B31" s="193"/>
      <c r="C31" s="193"/>
      <c r="D31" s="194"/>
      <c r="E31" s="195"/>
      <c r="F31" s="221"/>
      <c r="G31" s="221"/>
      <c r="H31" s="221"/>
      <c r="I31" s="221"/>
      <c r="J31" s="221"/>
      <c r="K31" s="190" t="s">
        <v>176</v>
      </c>
      <c r="L31" s="190">
        <v>12</v>
      </c>
      <c r="M31" s="191">
        <v>0.03</v>
      </c>
      <c r="N31" s="187">
        <f>IF(AND($S$4="Multi",$R$4="FY"),ROUND(((1+$M31)^'W2'!$B$20*'W2'!$C$9+(1+$M31)^('W2'!$B$20+1)*'W2'!$C$10)/12*'Subcontract 2'!$E31*'Subcontract 2'!$F31,0),(IF(AND($S$4="Multi",$R$4="PY"),ROUND(E31*F31/12*'W2'!$C$5,0),(IF(AND($S$4&lt;&gt;"Multi",$R$4="FY"),ROUND(((1+$S$4)^'W2'!$B$20*'W2'!$C$9+(1+$S$4)^('W2'!$B$20+1)*'W2'!$C$10)/12*'Subcontract 2'!$E31*'Subcontract 2'!$F31,0),ROUND($E31*$F31/12*'W2'!$C$5,0))))))</f>
        <v>0</v>
      </c>
      <c r="O31" s="187">
        <f>IF('W2'!$C$4='W2'!$D$4,(IF(AND($S$4="Multi",$R$4="FY"),ROUND(((1+$M31)^('W2'!$B$20)*'W2'!$D$9+(1+$M31)^('W2'!$B$20+1)*'W2'!$D$10)/12*'Subcontract 2'!$E31*'Subcontract 2'!$G31,0),(IF(AND($S$4="Multi",$R$4="PY"),ROUND($E31*$G31*(1+M31)/12*'W2'!$D$5,0),(IF(AND($S$4&lt;&gt;"Multi",$R$4="FY"),ROUND(((1+$S$4)^('W2'!$B$20)*'W2'!$D$9+(1+$S$4)^('W2'!$B$20+1)*'W2'!$D$10)/12*'Subcontract 2'!$E31*'Subcontract 2'!$G31,0),ROUND($E31*$G31*(1+$S$4)/12*'W2'!$D$5,0))))))),(IF(AND($S$4="Multi",$R$4="FY"),ROUND(((1+$M31)^('W2'!$B$20+1)*'W2'!$D$9+(1+$M31)^('W2'!$B$20+2)*'W2'!$D$10)/12*'Subcontract 2'!$E31*'Subcontract 2'!$G31,0),(IF(AND($S$4="Multi",$R$4="PY"),ROUND($E31*$G31*(1+M31)/12*'W2'!$D$5,0),(IF(AND($S$4&lt;&gt;"Multi",$R$4="FY"),ROUND(((1+$S$4)^('W2'!$B$20+1)*'W2'!$D$9+(1+$S$4)^('W2'!$B$20+2)*'W2'!$D$10)/12*'Subcontract 2'!$E31*'Subcontract 2'!$G31,0),ROUND($E31*$G31*(1+$S$4)/12*'W2'!$D$5,0))))))))</f>
        <v>0</v>
      </c>
      <c r="P31" s="187">
        <f>IF('W2'!$C$4='W2'!$D$4,(IF(AND($S$4="Multi",$R$4="FY"),ROUND(((1+$M31)^('W2'!$B$20+1)*'W2'!$E$9+(1+$M31)^('W2'!$B$20+2)*'W2'!$E$10)/12*'Subcontract 2'!$E31*'Subcontract 2'!H31,0),(IF(AND($S$4="Multi",$R$4="PY"),ROUND($E31*H31*((1+$M31)^2)/12*'W2'!$E$5,0),(IF(AND($S$4&lt;&gt;"Multi",$R$4="FY"),ROUND(((1+$S$4)^('W2'!$B$20+1)*'W2'!$E$9+(1+$S$4)^('W2'!$B$20+2)*'W2'!$E$10)/12*'Subcontract 2'!$E31*'Subcontract 2'!H31,0),ROUND($E31*H31*((1+$S$4)^2)/12*'W2'!$E$5,0))))))),(IF(AND($S$4="Multi",$R$4="FY"),ROUND(((1+$M31)^('W2'!$B$20+2)*'W2'!$E$9+(1+$M31)^('W2'!$B$20+3)*'W2'!$E$10)/12*'Subcontract 2'!$E31*'Subcontract 2'!H31,0),(IF(AND($S$4="Multi",$R$4="PY"),ROUND($E31*H31*((1+$M31)^2)/12*'W2'!$E$5,0),(IF(AND($S$4&lt;&gt;"Multi",$R$4="FY"),ROUND(((1+$S$4)^('W2'!$B$20+2)*'W2'!$E$9+(1+$S$4)^('W2'!$B$20+3)*'W2'!$E$10)/12*'Subcontract 2'!$E31*'Subcontract 2'!H31,0),ROUND($E31*H31*((1+$S$4)^2)/12*'W2'!$E$5,0))))))))</f>
        <v>0</v>
      </c>
      <c r="Q31" s="187">
        <f>IF('W2'!$C$4='W2'!$D$4,(IF(AND($S$4="Multi",$R$4="FY"),ROUND(((1+$M31)^('W2'!$B$20+2)*'W2'!$F$9+(1+$M31)^('W2'!$B$20+3)*'W2'!$F$10)/12*'Subcontract 2'!$E31*'Subcontract 2'!$I31,0),(IF(AND($S$4="Multi",$R$4="PY"),ROUND($E31*$I31*((1+$M31)^3)/12*'W2'!$F$5,0),(IF(AND($S$4&lt;&gt;"Multi",$R$4="FY"),ROUND(((1+$S$4)^('W2'!$B$20+2)*'W2'!$F$9+(1+$S$4)^('W2'!$B$20+3)*'W2'!$F$10)/12*'Subcontract 2'!$E31*'Subcontract 2'!$I31,0),ROUND($E31*$I31*((1+$S$4)^3)/12*'W2'!$F$5,0))))))),(IF(AND($S$4="Multi",$R$4="FY"),ROUND(((1+$M31)^('W2'!$B$20+3)*'W2'!$F$9+(1+$M31)^('W2'!$B$20+4)*'W2'!$F$10)/12*'Subcontract 2'!$E31*'Subcontract 2'!$I31,0),(IF(AND($S$4="Multi",$R$4="PY"),ROUND($E31*$I31*((1+$M31)^3)/12*'W2'!$F$5,0),(IF(AND($S$4&lt;&gt;"Multi",$R$4="FY"),ROUND(((1+$S$4)^('W2'!$B$20+3)*'W2'!$F$9+(1+$S$4)^('W2'!$B$20+4)*'W2'!$F$10)/12*'Subcontract 2'!$E31*'Subcontract 2'!$I31,0),ROUND($E31*$I31*((1+$S$4)^3)/12*'W2'!$F$5,0))))))))</f>
        <v>0</v>
      </c>
      <c r="R31" s="187">
        <f>IF('W2'!$C$4='W2'!$D$4,(IF(AND($S$4="Multi",$R$4="FY"),ROUND(((1+$M31)^('W2'!$B$20+3)*'W2'!$G$9+(1+$M31)^('W2'!$B$20+4)*'W2'!$G$10)/12*'Subcontract 2'!$E31*'Subcontract 2'!$J31,0),(IF(AND($S$4="Multi",$R$4="PY"),ROUND($E31*$J31*((1+$M31)^4)/12*'W2'!$G$5,0),(IF(AND($S$4&lt;&gt;"Multi",$R$4="FY"),ROUND(((1+$S$4)^('W2'!$B$20+3)*'W2'!$G$9+(1+$S$4)^('W2'!$B$20+4)*'W2'!$G$10)/12*'Subcontract 2'!$E31*'Subcontract 2'!$J31,0),ROUND($E31*$J31*((1+$S$4)^4)/12*'W2'!$G$5,0))))))),(IF(AND($S$4="Multi",$R$4="FY"),ROUND(((1+$M31)^('W2'!$B$20+4)*'W2'!$G$9+(1+$M31)^('W2'!$B$20+5)*'W2'!$G$10)/12*'Subcontract 2'!$E31*'Subcontract 2'!$J31,0),(IF(AND($S$4="Multi",$R$4="PY"),ROUND($E31*$J31*((1+$M31)^4)/12*'W2'!$G$5,0),(IF(AND($S$4&lt;&gt;"Multi",$R$4="FY"),ROUND(((1+$S$4)^('W2'!$B$20+4)*'W2'!$G$9+(1+$S$4)^('W2'!$B$20+5)*'W2'!$G$10)/12*'Subcontract 2'!$E31*'Subcontract 2'!$J31,0),ROUND($E31*$J31*((1+$S$4)^4)/12*'W2'!$G$5,0))))))))</f>
        <v>0</v>
      </c>
      <c r="S31" s="188">
        <f t="shared" si="2"/>
        <v>0</v>
      </c>
      <c r="T31" s="246"/>
      <c r="U31" s="246"/>
      <c r="V31" s="246"/>
      <c r="W31" s="246"/>
      <c r="X31" s="246"/>
      <c r="Y31" s="247"/>
      <c r="Z31" s="247"/>
      <c r="AA31" s="247"/>
      <c r="AB31" s="247"/>
      <c r="AC31" s="24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x14ac:dyDescent="0.2">
      <c r="A32" s="360" t="s">
        <v>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189">
        <f>SUM(N8:N31)</f>
        <v>0</v>
      </c>
      <c r="O32" s="189">
        <f>SUM(O8:O31)</f>
        <v>0</v>
      </c>
      <c r="P32" s="189">
        <f t="shared" ref="P32:Q32" si="3">SUM(P8:P31)</f>
        <v>0</v>
      </c>
      <c r="Q32" s="189">
        <f t="shared" si="3"/>
        <v>0</v>
      </c>
      <c r="R32" s="189">
        <f>SUM(R8:R31)</f>
        <v>0</v>
      </c>
      <c r="S32" s="189">
        <f>SUM(S8:S31)</f>
        <v>0</v>
      </c>
      <c r="T32" s="249"/>
      <c r="U32" s="249"/>
      <c r="V32" s="249"/>
      <c r="W32" s="249"/>
      <c r="X32" s="249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9" customHeight="1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x14ac:dyDescent="0.2">
      <c r="A34" s="386" t="s">
        <v>17</v>
      </c>
      <c r="B34" s="387"/>
      <c r="C34" s="388"/>
      <c r="D34" s="285"/>
      <c r="E34" s="279" t="s">
        <v>18</v>
      </c>
      <c r="F34" s="389" t="s">
        <v>18</v>
      </c>
      <c r="G34" s="390"/>
      <c r="H34" s="389" t="s">
        <v>18</v>
      </c>
      <c r="I34" s="390"/>
      <c r="J34" s="389" t="s">
        <v>18</v>
      </c>
      <c r="K34" s="390"/>
      <c r="L34" s="389" t="s">
        <v>18</v>
      </c>
      <c r="M34" s="390"/>
      <c r="N34" s="50" t="str">
        <f>N5</f>
        <v>Period 1</v>
      </c>
      <c r="O34" s="50" t="str">
        <f>O5</f>
        <v>Period 2</v>
      </c>
      <c r="P34" s="50" t="str">
        <f>P5</f>
        <v>Period 3</v>
      </c>
      <c r="Q34" s="50" t="str">
        <f>Q5</f>
        <v>Period 4</v>
      </c>
      <c r="R34" s="50" t="str">
        <f>R5</f>
        <v>Period 5</v>
      </c>
      <c r="S34" s="50" t="s">
        <v>13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x14ac:dyDescent="0.2">
      <c r="A35" s="92">
        <v>1</v>
      </c>
      <c r="B35" s="381">
        <f t="shared" ref="B35:B58" si="4">B8</f>
        <v>0</v>
      </c>
      <c r="C35" s="382"/>
      <c r="D35" s="286"/>
      <c r="E35" s="277"/>
      <c r="F35" s="378"/>
      <c r="G35" s="379"/>
      <c r="H35" s="420"/>
      <c r="I35" s="421"/>
      <c r="J35" s="420"/>
      <c r="K35" s="421"/>
      <c r="L35" s="420"/>
      <c r="M35" s="421"/>
      <c r="N35" s="200">
        <f t="shared" ref="N35:O39" si="5">N8*E35</f>
        <v>0</v>
      </c>
      <c r="O35" s="200">
        <f t="shared" si="5"/>
        <v>0</v>
      </c>
      <c r="P35" s="187">
        <f>IF(P8=0,0,IF(AND($D35="F-SMRA",P8=0),0,IF(AND($D35="F-SMRB",P8=0),0,IF(AND($D35="F-SMRC",P8=0),0,IF($D35='W2'!$A$68,'W2'!F301,IF($D35='W2'!$A$69,'W2'!F301,IF($D35='W2'!$A$70,'W2'!F301,ROUND(('Subcontract 2'!P8/'W2'!$E$5*'W2'!$E$9*(IF('Subcontract 2'!$D35='W2'!$A$47,'W2'!F$47,IF('Subcontract 2'!$D35='W2'!$A$48,'W2'!F$48,IF('Subcontract 2'!$D35='W2'!$A$49,'W2'!F$49,IF('Subcontract 2'!$D35='W2'!$A$50,'W2'!F$50,IF('Subcontract 2'!$D35='W2'!$A$51,'W2'!F$51,IF('Subcontract 2'!$D35='W2'!$A$52,'W2'!F$52,IF('Subcontract 2'!$D35='W2'!$A$53,'W2'!F$53,IF('Subcontract 2'!$D35='W2'!$A$54,'W2'!F$54,IF('Subcontract 2'!$D35='W2'!$A$55,'W2'!F$55))))))))))),0)+ROUND(P8/'W2'!$E$5*'W2'!$E$10*(IF('Subcontract 2'!$D35='W2'!$A$47,'W2'!G$47,IF('Subcontract 2'!$D35='W2'!$A$48,'W2'!G$48,IF('Subcontract 2'!$D35='W2'!$A$49,'W2'!G$49,IF('Subcontract 2'!$D35='W2'!$A$50,'W2'!G$50,IF('Subcontract 2'!$D35='W2'!$A$51,'W2'!G$51,IF('Subcontract 2'!$D35='W2'!$A$52,'W2'!G$52,IF('Subcontract 2'!$D35='W2'!$A$53,'W2'!G$53,IF('Subcontract 2'!$D35='W2'!$A$54,'W2'!G$54,IF('Subcontract 2'!$D35='W2'!$A$55,'W2'!G$55)))))))))),0))))))))</f>
        <v>0</v>
      </c>
      <c r="Q35" s="187">
        <f>IF(Q8=0,0,IF(AND($D35="F-SMRA",Q8=0),0,IF(AND($D35="F-SMRB",Q8=0),0,IF(AND($D35="F-SMRC",Q8=0),0,IF($D35='W2'!$A$68,'W2'!H301,IF($D35='W2'!$A$69,'W2'!H301,IF($D35='W2'!$A$70,'W2'!H301,ROUND(('Subcontract 2'!Q8/'W2'!$F$5*'W2'!$F$9*(IF('Subcontract 2'!$D35='W2'!$A$47,'W2'!H$47,IF('Subcontract 2'!$D35='W2'!$A$48,'W2'!H$48,IF('Subcontract 2'!$D35='W2'!$A$49,'W2'!H$49,IF('Subcontract 2'!$D35='W2'!$A$50,'W2'!H$50,IF('Subcontract 2'!$D35='W2'!$A$51,'W2'!H$51,IF('Subcontract 2'!$D35='W2'!$A$52,'W2'!H$52,IF('Subcontract 2'!$D35='W2'!$A$53,'W2'!H$53,IF('Subcontract 2'!$D35='W2'!$A$54,'W2'!H$54,IF('Subcontract 2'!$D35='W2'!$A$55,'W2'!H$55))))))))))),0)+ROUND(Q8/'W2'!$F$5*'W2'!$F$10*(IF('Subcontract 2'!$D35='W2'!$A$47,'W2'!I$47,IF('Subcontract 2'!$D35='W2'!$A$48,'W2'!I$48,IF('Subcontract 2'!$D35='W2'!$A$49,'W2'!I$49,IF('Subcontract 2'!$D35='W2'!$A$50,'W2'!I$50,IF('Subcontract 2'!$D35='W2'!$A$51,'W2'!I$51,IF('Subcontract 2'!$D35='W2'!$A$52,'W2'!I$52,IF('Subcontract 2'!$D35='W2'!$A$53,'W2'!I$53,IF('Subcontract 2'!$D35='W2'!$A$54,'W2'!I$54,IF('Subcontract 2'!$D35='W2'!$A$55,'W2'!I$55)))))))))),0))))))))</f>
        <v>0</v>
      </c>
      <c r="R35" s="187">
        <f>IF(R8=0,0,IF(AND($D35="F-SMRA",R8=0),0,IF(AND($D35="F-SMRB",R8=0),0,IF(AND($D35="F-SMRC",R8=0),0,IF($D35='W2'!$A$68,'W2'!J301,IF($D35='W2'!$A$69,'W2'!J301,IF($D35='W2'!$A$70,'W2'!J301,ROUND(('Subcontract 2'!R8/'W2'!$G$5*'W2'!$G$9*(IF('Subcontract 2'!$D35='W2'!$A$47,'W2'!J$47,IF('Subcontract 2'!$D35='W2'!$A$48,'W2'!J$48,IF('Subcontract 2'!$D35='W2'!$A$49,'W2'!J$49,IF('Subcontract 2'!$D35='W2'!$A$50,'W2'!J$50,IF('Subcontract 2'!$D35='W2'!$A$51,'W2'!J$51,IF('Subcontract 2'!$D35='W2'!$A$52,'W2'!J$52,IF('Subcontract 2'!$D35='W2'!$A$53,'W2'!J$53,IF('Subcontract 2'!$D35='W2'!$A$54,'W2'!J$54,IF('Subcontract 2'!$D35='W2'!$A$55,'W2'!J$55))))))))))),0)+ROUND(R8/'W2'!$G$5*'W2'!$G$10*(IF('Subcontract 2'!$D35='W2'!$A$47,'W2'!K$47,IF('Subcontract 2'!$D35='W2'!$A$48,'W2'!K$48,IF('Subcontract 2'!$D35='W2'!$A$49,'W2'!K$49,IF('Subcontract 2'!$D35='W2'!$A$50,'W2'!K$50,IF('Subcontract 2'!$D35='W2'!$A$51,'W2'!K$51,IF('Subcontract 2'!$D35='W2'!$A$52,'W2'!K$52,IF('Subcontract 2'!$D35='W2'!$A$53,'W2'!K$53,IF('Subcontract 2'!$D35='W2'!$A$54,'W2'!K$54,IF('Subcontract 2'!$D35='W2'!$A$55,'W2'!K$55)))))))))),0))))))))</f>
        <v>0</v>
      </c>
      <c r="S35" s="187">
        <f>SUM(N35:R35)</f>
        <v>0</v>
      </c>
      <c r="T35" s="248"/>
      <c r="U35" s="248"/>
      <c r="V35" s="248"/>
      <c r="W35" s="248"/>
      <c r="X35" s="248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x14ac:dyDescent="0.2">
      <c r="A36" s="92">
        <v>2</v>
      </c>
      <c r="B36" s="381">
        <f t="shared" si="4"/>
        <v>0</v>
      </c>
      <c r="C36" s="382"/>
      <c r="D36" s="286"/>
      <c r="E36" s="277"/>
      <c r="F36" s="378"/>
      <c r="G36" s="379"/>
      <c r="H36" s="420"/>
      <c r="I36" s="421"/>
      <c r="J36" s="420"/>
      <c r="K36" s="421"/>
      <c r="L36" s="420"/>
      <c r="M36" s="421"/>
      <c r="N36" s="200">
        <f t="shared" si="5"/>
        <v>0</v>
      </c>
      <c r="O36" s="200">
        <f t="shared" si="5"/>
        <v>0</v>
      </c>
      <c r="P36" s="187">
        <f>IF(P9=0,0,IF(AND($D36="F-SMRA",P9=0),0,IF(AND($D36="F-SMRB",P9=0),0,IF(AND($D36="F-SMRC",P9=0),0,IF($D36='W2'!$A$68,'W2'!F302,IF($D36='W2'!$A$69,'W2'!F302,IF($D36='W2'!$A$70,'W2'!F302,ROUND(('Subcontract 2'!P9/'W2'!$E$5*'W2'!$E$9*(IF('Subcontract 2'!$D36='W2'!$A$47,'W2'!F$47,IF('Subcontract 2'!$D36='W2'!$A$48,'W2'!F$48,IF('Subcontract 2'!$D36='W2'!$A$49,'W2'!F$49,IF('Subcontract 2'!$D36='W2'!$A$50,'W2'!F$50,IF('Subcontract 2'!$D36='W2'!$A$51,'W2'!F$51,IF('Subcontract 2'!$D36='W2'!$A$52,'W2'!F$52,IF('Subcontract 2'!$D36='W2'!$A$53,'W2'!F$53,IF('Subcontract 2'!$D36='W2'!$A$54,'W2'!F$54,IF('Subcontract 2'!$D36='W2'!$A$55,'W2'!F$55))))))))))),0)+ROUND(P9/'W2'!$E$5*'W2'!$E$10*(IF('Subcontract 2'!$D36='W2'!$A$47,'W2'!G$47,IF('Subcontract 2'!$D36='W2'!$A$48,'W2'!G$48,IF('Subcontract 2'!$D36='W2'!$A$49,'W2'!G$49,IF('Subcontract 2'!$D36='W2'!$A$50,'W2'!G$50,IF('Subcontract 2'!$D36='W2'!$A$51,'W2'!G$51,IF('Subcontract 2'!$D36='W2'!$A$52,'W2'!G$52,IF('Subcontract 2'!$D36='W2'!$A$53,'W2'!G$53,IF('Subcontract 2'!$D36='W2'!$A$54,'W2'!G$54,IF('Subcontract 2'!$D36='W2'!$A$55,'W2'!G$55)))))))))),0))))))))</f>
        <v>0</v>
      </c>
      <c r="Q36" s="187">
        <f>IF(Q9=0,0,IF(AND($D36="F-SMRA",Q9=0),0,IF(AND($D36="F-SMRB",Q9=0),0,IF(AND($D36="F-SMRC",Q9=0),0,IF($D36='W2'!$A$68,'W2'!H302,IF($D36='W2'!$A$69,'W2'!H302,IF($D36='W2'!$A$70,'W2'!H302,ROUND(('Subcontract 2'!Q9/'W2'!$F$5*'W2'!$F$9*(IF('Subcontract 2'!$D36='W2'!$A$47,'W2'!H$47,IF('Subcontract 2'!$D36='W2'!$A$48,'W2'!H$48,IF('Subcontract 2'!$D36='W2'!$A$49,'W2'!H$49,IF('Subcontract 2'!$D36='W2'!$A$50,'W2'!H$50,IF('Subcontract 2'!$D36='W2'!$A$51,'W2'!H$51,IF('Subcontract 2'!$D36='W2'!$A$52,'W2'!H$52,IF('Subcontract 2'!$D36='W2'!$A$53,'W2'!H$53,IF('Subcontract 2'!$D36='W2'!$A$54,'W2'!H$54,IF('Subcontract 2'!$D36='W2'!$A$55,'W2'!H$55))))))))))),0)+ROUND(Q9/'W2'!$F$5*'W2'!$F$10*(IF('Subcontract 2'!$D36='W2'!$A$47,'W2'!I$47,IF('Subcontract 2'!$D36='W2'!$A$48,'W2'!I$48,IF('Subcontract 2'!$D36='W2'!$A$49,'W2'!I$49,IF('Subcontract 2'!$D36='W2'!$A$50,'W2'!I$50,IF('Subcontract 2'!$D36='W2'!$A$51,'W2'!I$51,IF('Subcontract 2'!$D36='W2'!$A$52,'W2'!I$52,IF('Subcontract 2'!$D36='W2'!$A$53,'W2'!I$53,IF('Subcontract 2'!$D36='W2'!$A$54,'W2'!I$54,IF('Subcontract 2'!$D36='W2'!$A$55,'W2'!I$55)))))))))),0))))))))</f>
        <v>0</v>
      </c>
      <c r="R36" s="187">
        <f>IF(R9=0,0,IF(AND($D36="F-SMRA",R9=0),0,IF(AND($D36="F-SMRB",R9=0),0,IF(AND($D36="F-SMRC",R9=0),0,IF($D36='W2'!$A$68,'W2'!J302,IF($D36='W2'!$A$69,'W2'!J302,IF($D36='W2'!$A$70,'W2'!J302,ROUND(('Subcontract 2'!R9/'W2'!$G$5*'W2'!$G$9*(IF('Subcontract 2'!$D36='W2'!$A$47,'W2'!J$47,IF('Subcontract 2'!$D36='W2'!$A$48,'W2'!J$48,IF('Subcontract 2'!$D36='W2'!$A$49,'W2'!J$49,IF('Subcontract 2'!$D36='W2'!$A$50,'W2'!J$50,IF('Subcontract 2'!$D36='W2'!$A$51,'W2'!J$51,IF('Subcontract 2'!$D36='W2'!$A$52,'W2'!J$52,IF('Subcontract 2'!$D36='W2'!$A$53,'W2'!J$53,IF('Subcontract 2'!$D36='W2'!$A$54,'W2'!J$54,IF('Subcontract 2'!$D36='W2'!$A$55,'W2'!J$55))))))))))),0)+ROUND(R9/'W2'!$G$5*'W2'!$G$10*(IF('Subcontract 2'!$D36='W2'!$A$47,'W2'!K$47,IF('Subcontract 2'!$D36='W2'!$A$48,'W2'!K$48,IF('Subcontract 2'!$D36='W2'!$A$49,'W2'!K$49,IF('Subcontract 2'!$D36='W2'!$A$50,'W2'!K$50,IF('Subcontract 2'!$D36='W2'!$A$51,'W2'!K$51,IF('Subcontract 2'!$D36='W2'!$A$52,'W2'!K$52,IF('Subcontract 2'!$D36='W2'!$A$53,'W2'!K$53,IF('Subcontract 2'!$D36='W2'!$A$54,'W2'!K$54,IF('Subcontract 2'!$D36='W2'!$A$55,'W2'!K$55)))))))))),0))))))))</f>
        <v>0</v>
      </c>
      <c r="S36" s="187">
        <f t="shared" ref="S36:S58" si="6">SUM(N36:R36)</f>
        <v>0</v>
      </c>
      <c r="T36" s="248"/>
      <c r="U36" s="248"/>
      <c r="V36" s="248"/>
      <c r="W36" s="248"/>
      <c r="X36" s="248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x14ac:dyDescent="0.2">
      <c r="A37" s="92">
        <v>3</v>
      </c>
      <c r="B37" s="381">
        <f t="shared" si="4"/>
        <v>0</v>
      </c>
      <c r="C37" s="382"/>
      <c r="D37" s="286"/>
      <c r="E37" s="277"/>
      <c r="F37" s="378"/>
      <c r="G37" s="379"/>
      <c r="H37" s="420"/>
      <c r="I37" s="421"/>
      <c r="J37" s="420"/>
      <c r="K37" s="421"/>
      <c r="L37" s="420"/>
      <c r="M37" s="421"/>
      <c r="N37" s="200">
        <f t="shared" si="5"/>
        <v>0</v>
      </c>
      <c r="O37" s="200">
        <f t="shared" si="5"/>
        <v>0</v>
      </c>
      <c r="P37" s="187">
        <f>IF(P10=0,0,IF(AND($D37="F-SMRA",P10=0),0,IF(AND($D37="F-SMRB",P10=0),0,IF(AND($D37="F-SMRC",P10=0),0,IF($D37='W2'!$A$68,'W2'!F303,IF($D37='W2'!$A$69,'W2'!F303,IF($D37='W2'!$A$70,'W2'!F303,ROUND(('Subcontract 2'!P10/'W2'!$E$5*'W2'!$E$9*(IF('Subcontract 2'!$D37='W2'!$A$47,'W2'!F$47,IF('Subcontract 2'!$D37='W2'!$A$48,'W2'!F$48,IF('Subcontract 2'!$D37='W2'!$A$49,'W2'!F$49,IF('Subcontract 2'!$D37='W2'!$A$50,'W2'!F$50,IF('Subcontract 2'!$D37='W2'!$A$51,'W2'!F$51,IF('Subcontract 2'!$D37='W2'!$A$52,'W2'!F$52,IF('Subcontract 2'!$D37='W2'!$A$53,'W2'!F$53,IF('Subcontract 2'!$D37='W2'!$A$54,'W2'!F$54,IF('Subcontract 2'!$D37='W2'!$A$55,'W2'!F$55))))))))))),0)+ROUND(P10/'W2'!$E$5*'W2'!$E$10*(IF('Subcontract 2'!$D37='W2'!$A$47,'W2'!G$47,IF('Subcontract 2'!$D37='W2'!$A$48,'W2'!G$48,IF('Subcontract 2'!$D37='W2'!$A$49,'W2'!G$49,IF('Subcontract 2'!$D37='W2'!$A$50,'W2'!G$50,IF('Subcontract 2'!$D37='W2'!$A$51,'W2'!G$51,IF('Subcontract 2'!$D37='W2'!$A$52,'W2'!G$52,IF('Subcontract 2'!$D37='W2'!$A$53,'W2'!G$53,IF('Subcontract 2'!$D37='W2'!$A$54,'W2'!G$54,IF('Subcontract 2'!$D37='W2'!$A$55,'W2'!G$55)))))))))),0))))))))</f>
        <v>0</v>
      </c>
      <c r="Q37" s="187">
        <f>IF(Q10=0,0,IF(AND($D37="F-SMRA",Q10=0),0,IF(AND($D37="F-SMRB",Q10=0),0,IF(AND($D37="F-SMRC",Q10=0),0,IF($D37='W2'!$A$68,'W2'!H303,IF($D37='W2'!$A$69,'W2'!H303,IF($D37='W2'!$A$70,'W2'!H303,ROUND(('Subcontract 2'!Q10/'W2'!$F$5*'W2'!$F$9*(IF('Subcontract 2'!$D37='W2'!$A$47,'W2'!H$47,IF('Subcontract 2'!$D37='W2'!$A$48,'W2'!H$48,IF('Subcontract 2'!$D37='W2'!$A$49,'W2'!H$49,IF('Subcontract 2'!$D37='W2'!$A$50,'W2'!H$50,IF('Subcontract 2'!$D37='W2'!$A$51,'W2'!H$51,IF('Subcontract 2'!$D37='W2'!$A$52,'W2'!H$52,IF('Subcontract 2'!$D37='W2'!$A$53,'W2'!H$53,IF('Subcontract 2'!$D37='W2'!$A$54,'W2'!H$54,IF('Subcontract 2'!$D37='W2'!$A$55,'W2'!H$55))))))))))),0)+ROUND(Q10/'W2'!$F$5*'W2'!$F$10*(IF('Subcontract 2'!$D37='W2'!$A$47,'W2'!I$47,IF('Subcontract 2'!$D37='W2'!$A$48,'W2'!I$48,IF('Subcontract 2'!$D37='W2'!$A$49,'W2'!I$49,IF('Subcontract 2'!$D37='W2'!$A$50,'W2'!I$50,IF('Subcontract 2'!$D37='W2'!$A$51,'W2'!I$51,IF('Subcontract 2'!$D37='W2'!$A$52,'W2'!I$52,IF('Subcontract 2'!$D37='W2'!$A$53,'W2'!I$53,IF('Subcontract 2'!$D37='W2'!$A$54,'W2'!I$54,IF('Subcontract 2'!$D37='W2'!$A$55,'W2'!I$55)))))))))),0))))))))</f>
        <v>0</v>
      </c>
      <c r="R37" s="187">
        <f>IF(R10=0,0,IF(AND($D37="F-SMRA",R10=0),0,IF(AND($D37="F-SMRB",R10=0),0,IF(AND($D37="F-SMRC",R10=0),0,IF($D37='W2'!$A$68,'W2'!J303,IF($D37='W2'!$A$69,'W2'!J303,IF($D37='W2'!$A$70,'W2'!J303,ROUND(('Subcontract 2'!R10/'W2'!$G$5*'W2'!$G$9*(IF('Subcontract 2'!$D37='W2'!$A$47,'W2'!J$47,IF('Subcontract 2'!$D37='W2'!$A$48,'W2'!J$48,IF('Subcontract 2'!$D37='W2'!$A$49,'W2'!J$49,IF('Subcontract 2'!$D37='W2'!$A$50,'W2'!J$50,IF('Subcontract 2'!$D37='W2'!$A$51,'W2'!J$51,IF('Subcontract 2'!$D37='W2'!$A$52,'W2'!J$52,IF('Subcontract 2'!$D37='W2'!$A$53,'W2'!J$53,IF('Subcontract 2'!$D37='W2'!$A$54,'W2'!J$54,IF('Subcontract 2'!$D37='W2'!$A$55,'W2'!J$55))))))))))),0)+ROUND(R10/'W2'!$G$5*'W2'!$G$10*(IF('Subcontract 2'!$D37='W2'!$A$47,'W2'!K$47,IF('Subcontract 2'!$D37='W2'!$A$48,'W2'!K$48,IF('Subcontract 2'!$D37='W2'!$A$49,'W2'!K$49,IF('Subcontract 2'!$D37='W2'!$A$50,'W2'!K$50,IF('Subcontract 2'!$D37='W2'!$A$51,'W2'!K$51,IF('Subcontract 2'!$D37='W2'!$A$52,'W2'!K$52,IF('Subcontract 2'!$D37='W2'!$A$53,'W2'!K$53,IF('Subcontract 2'!$D37='W2'!$A$54,'W2'!K$54,IF('Subcontract 2'!$D37='W2'!$A$55,'W2'!K$55)))))))))),0))))))))</f>
        <v>0</v>
      </c>
      <c r="S37" s="187">
        <f t="shared" si="6"/>
        <v>0</v>
      </c>
      <c r="T37" s="248"/>
      <c r="U37" s="248"/>
      <c r="V37" s="248"/>
      <c r="W37" s="248"/>
      <c r="X37" s="248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x14ac:dyDescent="0.2">
      <c r="A38" s="92">
        <v>4</v>
      </c>
      <c r="B38" s="381">
        <f t="shared" si="4"/>
        <v>0</v>
      </c>
      <c r="C38" s="382"/>
      <c r="D38" s="286"/>
      <c r="E38" s="277"/>
      <c r="F38" s="378"/>
      <c r="G38" s="379"/>
      <c r="H38" s="420"/>
      <c r="I38" s="421"/>
      <c r="J38" s="420"/>
      <c r="K38" s="421"/>
      <c r="L38" s="420"/>
      <c r="M38" s="421"/>
      <c r="N38" s="200">
        <f t="shared" si="5"/>
        <v>0</v>
      </c>
      <c r="O38" s="200">
        <f t="shared" si="5"/>
        <v>0</v>
      </c>
      <c r="P38" s="187">
        <f>IF(P11=0,0,IF(AND($D38="F-SMRA",P11=0),0,IF(AND($D38="F-SMRB",P11=0),0,IF(AND($D38="F-SMRC",P11=0),0,IF($D38='W2'!$A$68,'W2'!F304,IF($D38='W2'!$A$69,'W2'!F304,IF($D38='W2'!$A$70,'W2'!F304,ROUND(('Subcontract 2'!P11/'W2'!$E$5*'W2'!$E$9*(IF('Subcontract 2'!$D38='W2'!$A$47,'W2'!F$47,IF('Subcontract 2'!$D38='W2'!$A$48,'W2'!F$48,IF('Subcontract 2'!$D38='W2'!$A$49,'W2'!F$49,IF('Subcontract 2'!$D38='W2'!$A$50,'W2'!F$50,IF('Subcontract 2'!$D38='W2'!$A$51,'W2'!F$51,IF('Subcontract 2'!$D38='W2'!$A$52,'W2'!F$52,IF('Subcontract 2'!$D38='W2'!$A$53,'W2'!F$53,IF('Subcontract 2'!$D38='W2'!$A$54,'W2'!F$54,IF('Subcontract 2'!$D38='W2'!$A$55,'W2'!F$55))))))))))),0)+ROUND(P11/'W2'!$E$5*'W2'!$E$10*(IF('Subcontract 2'!$D38='W2'!$A$47,'W2'!G$47,IF('Subcontract 2'!$D38='W2'!$A$48,'W2'!G$48,IF('Subcontract 2'!$D38='W2'!$A$49,'W2'!G$49,IF('Subcontract 2'!$D38='W2'!$A$50,'W2'!G$50,IF('Subcontract 2'!$D38='W2'!$A$51,'W2'!G$51,IF('Subcontract 2'!$D38='W2'!$A$52,'W2'!G$52,IF('Subcontract 2'!$D38='W2'!$A$53,'W2'!G$53,IF('Subcontract 2'!$D38='W2'!$A$54,'W2'!G$54,IF('Subcontract 2'!$D38='W2'!$A$55,'W2'!G$55)))))))))),0))))))))</f>
        <v>0</v>
      </c>
      <c r="Q38" s="187">
        <f>IF(Q11=0,0,IF(AND($D38="F-SMRA",Q11=0),0,IF(AND($D38="F-SMRB",Q11=0),0,IF(AND($D38="F-SMRC",Q11=0),0,IF($D38='W2'!$A$68,'W2'!H304,IF($D38='W2'!$A$69,'W2'!H304,IF($D38='W2'!$A$70,'W2'!H304,ROUND(('Subcontract 2'!Q11/'W2'!$F$5*'W2'!$F$9*(IF('Subcontract 2'!$D38='W2'!$A$47,'W2'!H$47,IF('Subcontract 2'!$D38='W2'!$A$48,'W2'!H$48,IF('Subcontract 2'!$D38='W2'!$A$49,'W2'!H$49,IF('Subcontract 2'!$D38='W2'!$A$50,'W2'!H$50,IF('Subcontract 2'!$D38='W2'!$A$51,'W2'!H$51,IF('Subcontract 2'!$D38='W2'!$A$52,'W2'!H$52,IF('Subcontract 2'!$D38='W2'!$A$53,'W2'!H$53,IF('Subcontract 2'!$D38='W2'!$A$54,'W2'!H$54,IF('Subcontract 2'!$D38='W2'!$A$55,'W2'!H$55))))))))))),0)+ROUND(Q11/'W2'!$F$5*'W2'!$F$10*(IF('Subcontract 2'!$D38='W2'!$A$47,'W2'!I$47,IF('Subcontract 2'!$D38='W2'!$A$48,'W2'!I$48,IF('Subcontract 2'!$D38='W2'!$A$49,'W2'!I$49,IF('Subcontract 2'!$D38='W2'!$A$50,'W2'!I$50,IF('Subcontract 2'!$D38='W2'!$A$51,'W2'!I$51,IF('Subcontract 2'!$D38='W2'!$A$52,'W2'!I$52,IF('Subcontract 2'!$D38='W2'!$A$53,'W2'!I$53,IF('Subcontract 2'!$D38='W2'!$A$54,'W2'!I$54,IF('Subcontract 2'!$D38='W2'!$A$55,'W2'!I$55)))))))))),0))))))))</f>
        <v>0</v>
      </c>
      <c r="R38" s="187">
        <f>IF(R11=0,0,IF(AND($D38="F-SMRA",R11=0),0,IF(AND($D38="F-SMRB",R11=0),0,IF(AND($D38="F-SMRC",R11=0),0,IF($D38='W2'!$A$68,'W2'!J304,IF($D38='W2'!$A$69,'W2'!J304,IF($D38='W2'!$A$70,'W2'!J304,ROUND(('Subcontract 2'!R11/'W2'!$G$5*'W2'!$G$9*(IF('Subcontract 2'!$D38='W2'!$A$47,'W2'!J$47,IF('Subcontract 2'!$D38='W2'!$A$48,'W2'!J$48,IF('Subcontract 2'!$D38='W2'!$A$49,'W2'!J$49,IF('Subcontract 2'!$D38='W2'!$A$50,'W2'!J$50,IF('Subcontract 2'!$D38='W2'!$A$51,'W2'!J$51,IF('Subcontract 2'!$D38='W2'!$A$52,'W2'!J$52,IF('Subcontract 2'!$D38='W2'!$A$53,'W2'!J$53,IF('Subcontract 2'!$D38='W2'!$A$54,'W2'!J$54,IF('Subcontract 2'!$D38='W2'!$A$55,'W2'!J$55))))))))))),0)+ROUND(R11/'W2'!$G$5*'W2'!$G$10*(IF('Subcontract 2'!$D38='W2'!$A$47,'W2'!K$47,IF('Subcontract 2'!$D38='W2'!$A$48,'W2'!K$48,IF('Subcontract 2'!$D38='W2'!$A$49,'W2'!K$49,IF('Subcontract 2'!$D38='W2'!$A$50,'W2'!K$50,IF('Subcontract 2'!$D38='W2'!$A$51,'W2'!K$51,IF('Subcontract 2'!$D38='W2'!$A$52,'W2'!K$52,IF('Subcontract 2'!$D38='W2'!$A$53,'W2'!K$53,IF('Subcontract 2'!$D38='W2'!$A$54,'W2'!K$54,IF('Subcontract 2'!$D38='W2'!$A$55,'W2'!K$55)))))))))),0))))))))</f>
        <v>0</v>
      </c>
      <c r="S38" s="187">
        <f t="shared" si="6"/>
        <v>0</v>
      </c>
      <c r="T38" s="248"/>
      <c r="U38" s="248"/>
      <c r="V38" s="248"/>
      <c r="W38" s="248"/>
      <c r="X38" s="248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x14ac:dyDescent="0.2">
      <c r="A39" s="92">
        <v>5</v>
      </c>
      <c r="B39" s="381">
        <f t="shared" si="4"/>
        <v>0</v>
      </c>
      <c r="C39" s="382"/>
      <c r="D39" s="286"/>
      <c r="E39" s="277"/>
      <c r="F39" s="378"/>
      <c r="G39" s="379"/>
      <c r="H39" s="420"/>
      <c r="I39" s="421"/>
      <c r="J39" s="420"/>
      <c r="K39" s="421"/>
      <c r="L39" s="420"/>
      <c r="M39" s="421"/>
      <c r="N39" s="200">
        <f t="shared" si="5"/>
        <v>0</v>
      </c>
      <c r="O39" s="200">
        <f t="shared" si="5"/>
        <v>0</v>
      </c>
      <c r="P39" s="187">
        <f>IF(P12=0,0,IF(AND($D39="F-SMRA",P12=0),0,IF(AND($D39="F-SMRB",P12=0),0,IF(AND($D39="F-SMRC",P12=0),0,IF($D39='W2'!$A$68,'W2'!F305,IF($D39='W2'!$A$69,'W2'!F305,IF($D39='W2'!$A$70,'W2'!F305,ROUND(('Subcontract 2'!P12/'W2'!$E$5*'W2'!$E$9*(IF('Subcontract 2'!$D39='W2'!$A$47,'W2'!F$47,IF('Subcontract 2'!$D39='W2'!$A$48,'W2'!F$48,IF('Subcontract 2'!$D39='W2'!$A$49,'W2'!F$49,IF('Subcontract 2'!$D39='W2'!$A$50,'W2'!F$50,IF('Subcontract 2'!$D39='W2'!$A$51,'W2'!F$51,IF('Subcontract 2'!$D39='W2'!$A$52,'W2'!F$52,IF('Subcontract 2'!$D39='W2'!$A$53,'W2'!F$53,IF('Subcontract 2'!$D39='W2'!$A$54,'W2'!F$54,IF('Subcontract 2'!$D39='W2'!$A$55,'W2'!F$55))))))))))),0)+ROUND(P12/'W2'!$E$5*'W2'!$E$10*(IF('Subcontract 2'!$D39='W2'!$A$47,'W2'!G$47,IF('Subcontract 2'!$D39='W2'!$A$48,'W2'!G$48,IF('Subcontract 2'!$D39='W2'!$A$49,'W2'!G$49,IF('Subcontract 2'!$D39='W2'!$A$50,'W2'!G$50,IF('Subcontract 2'!$D39='W2'!$A$51,'W2'!G$51,IF('Subcontract 2'!$D39='W2'!$A$52,'W2'!G$52,IF('Subcontract 2'!$D39='W2'!$A$53,'W2'!G$53,IF('Subcontract 2'!$D39='W2'!$A$54,'W2'!G$54,IF('Subcontract 2'!$D39='W2'!$A$55,'W2'!G$55)))))))))),0))))))))</f>
        <v>0</v>
      </c>
      <c r="Q39" s="187">
        <f>IF(Q12=0,0,IF(AND($D39="F-SMRA",Q12=0),0,IF(AND($D39="F-SMRB",Q12=0),0,IF(AND($D39="F-SMRC",Q12=0),0,IF($D39='W2'!$A$68,'W2'!H305,IF($D39='W2'!$A$69,'W2'!H305,IF($D39='W2'!$A$70,'W2'!H305,ROUND(('Subcontract 2'!Q12/'W2'!$F$5*'W2'!$F$9*(IF('Subcontract 2'!$D39='W2'!$A$47,'W2'!H$47,IF('Subcontract 2'!$D39='W2'!$A$48,'W2'!H$48,IF('Subcontract 2'!$D39='W2'!$A$49,'W2'!H$49,IF('Subcontract 2'!$D39='W2'!$A$50,'W2'!H$50,IF('Subcontract 2'!$D39='W2'!$A$51,'W2'!H$51,IF('Subcontract 2'!$D39='W2'!$A$52,'W2'!H$52,IF('Subcontract 2'!$D39='W2'!$A$53,'W2'!H$53,IF('Subcontract 2'!$D39='W2'!$A$54,'W2'!H$54,IF('Subcontract 2'!$D39='W2'!$A$55,'W2'!H$55))))))))))),0)+ROUND(Q12/'W2'!$F$5*'W2'!$F$10*(IF('Subcontract 2'!$D39='W2'!$A$47,'W2'!I$47,IF('Subcontract 2'!$D39='W2'!$A$48,'W2'!I$48,IF('Subcontract 2'!$D39='W2'!$A$49,'W2'!I$49,IF('Subcontract 2'!$D39='W2'!$A$50,'W2'!I$50,IF('Subcontract 2'!$D39='W2'!$A$51,'W2'!I$51,IF('Subcontract 2'!$D39='W2'!$A$52,'W2'!I$52,IF('Subcontract 2'!$D39='W2'!$A$53,'W2'!I$53,IF('Subcontract 2'!$D39='W2'!$A$54,'W2'!I$54,IF('Subcontract 2'!$D39='W2'!$A$55,'W2'!I$55)))))))))),0))))))))</f>
        <v>0</v>
      </c>
      <c r="R39" s="187">
        <f>IF(R12=0,0,IF(AND($D39="F-SMRA",R12=0),0,IF(AND($D39="F-SMRB",R12=0),0,IF(AND($D39="F-SMRC",R12=0),0,IF($D39='W2'!$A$68,'W2'!J305,IF($D39='W2'!$A$69,'W2'!J305,IF($D39='W2'!$A$70,'W2'!J305,ROUND(('Subcontract 2'!R12/'W2'!$G$5*'W2'!$G$9*(IF('Subcontract 2'!$D39='W2'!$A$47,'W2'!J$47,IF('Subcontract 2'!$D39='W2'!$A$48,'W2'!J$48,IF('Subcontract 2'!$D39='W2'!$A$49,'W2'!J$49,IF('Subcontract 2'!$D39='W2'!$A$50,'W2'!J$50,IF('Subcontract 2'!$D39='W2'!$A$51,'W2'!J$51,IF('Subcontract 2'!$D39='W2'!$A$52,'W2'!J$52,IF('Subcontract 2'!$D39='W2'!$A$53,'W2'!J$53,IF('Subcontract 2'!$D39='W2'!$A$54,'W2'!J$54,IF('Subcontract 2'!$D39='W2'!$A$55,'W2'!J$55))))))))))),0)+ROUND(R12/'W2'!$G$5*'W2'!$G$10*(IF('Subcontract 2'!$D39='W2'!$A$47,'W2'!K$47,IF('Subcontract 2'!$D39='W2'!$A$48,'W2'!K$48,IF('Subcontract 2'!$D39='W2'!$A$49,'W2'!K$49,IF('Subcontract 2'!$D39='W2'!$A$50,'W2'!K$50,IF('Subcontract 2'!$D39='W2'!$A$51,'W2'!K$51,IF('Subcontract 2'!$D39='W2'!$A$52,'W2'!K$52,IF('Subcontract 2'!$D39='W2'!$A$53,'W2'!K$53,IF('Subcontract 2'!$D39='W2'!$A$54,'W2'!K$54,IF('Subcontract 2'!$D39='W2'!$A$55,'W2'!K$55)))))))))),0))))))))</f>
        <v>0</v>
      </c>
      <c r="S39" s="187">
        <f t="shared" si="6"/>
        <v>0</v>
      </c>
      <c r="T39" s="248"/>
      <c r="U39" s="248"/>
      <c r="V39" s="248"/>
      <c r="W39" s="248"/>
      <c r="X39" s="248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hidden="1" x14ac:dyDescent="0.2">
      <c r="A40" s="92">
        <v>6</v>
      </c>
      <c r="B40" s="381">
        <f t="shared" si="4"/>
        <v>0</v>
      </c>
      <c r="C40" s="382"/>
      <c r="D40" s="199" t="s">
        <v>52</v>
      </c>
      <c r="E40" s="277" t="str">
        <f>IF($D40='W2'!$A$59,'W2'!B$59,IF($D40='W2'!$A$60,'W2'!B$60,IF($D40='W2'!$A$61,'W2'!B$61,IF($D40='W2'!$A$62,'W2'!B$62,IF($D40='W2'!$A$63,'W2'!B$63,IF($D40='W2'!$A$64,'W2'!B$64,IF($D40='W2'!$A$65,'W2'!B$65,IF($D40='W2'!$A$66,'W2'!B$66,IF($D40='W2'!$A$67,'W2'!B$67,IF($D40='W2'!$A$68,'W2'!B280,IF($D40='W2'!$A$69,'W2'!B280,IF($D40='W2'!$A$70,'W2'!B280,IF($D40='W2'!$A$71,"")))))))))))))</f>
        <v/>
      </c>
      <c r="F40" s="378" t="str">
        <f>IF($D40='W2'!$A$59,'W2'!C$59,IF($D40='W2'!$A$60,'W2'!C$60,IF($D40='W2'!$A$61,'W2'!C$61,IF($D40='W2'!$A$62,'W2'!C$62,IF($D40='W2'!$A$63,'W2'!C$63,IF($D40='W2'!$A$64,'W2'!C$64,IF($D40='W2'!$A$65,'W2'!C$65,IF($D40='W2'!$A$66,'W2'!C$66,IF($D40='W2'!$A$67,'W2'!C$67,IF($D40='W2'!$A$68,'W2'!D280,IF($D40='W2'!$A$69,'W2'!D280,IF($D40='W2'!$A$70,'W2'!D280,IF($D40='W2'!$A$71,"")))))))))))))</f>
        <v/>
      </c>
      <c r="G40" s="379"/>
      <c r="H40" s="366" t="str">
        <f>IF($D40='W2'!$A$59,'W2'!D$59,IF($D40='W2'!$A$60,'W2'!D$60,IF($D40='W2'!$A$61,'W2'!D$61,IF($D40='W2'!$A$62,'W2'!D$62,IF($D40='W2'!$A$63,'W2'!D$63,IF($D40='W2'!$A$64,'W2'!D$64,IF($D40='W2'!$A$65,'W2'!D$65,IF($D40='W2'!$A$66,'W2'!D$66,IF($D40='W2'!$A$67,'W2'!D$67,IF($D40='W2'!$A$68,'W2'!F280,IF($D40='W2'!$A$69,'W2'!F280,IF($D40='W2'!$A$70,'W2'!F280,IF($D40='W2'!$A$71,"")))))))))))))</f>
        <v/>
      </c>
      <c r="I40" s="367"/>
      <c r="J40" s="366" t="str">
        <f>IF($D40='W2'!$A$59,'W2'!E$59,IF($D40='W2'!$A$60,'W2'!E$60,IF($D40='W2'!$A$61,'W2'!E$61,IF($D40='W2'!$A$62,'W2'!E$62,IF($D40='W2'!$A$63,'W2'!E$63,IF($D40='W2'!$A$64,'W2'!E$64,IF($D40='W2'!$A$65,'W2'!E$65,IF($D40='W2'!$A$66,'W2'!E$66,IF($D40='W2'!$A$67,'W2'!E$67,IF($D40='W2'!$A$68,'W2'!H280,IF($D40='W2'!$A$69,'W2'!H280,IF($D40='W2'!$A$70,'W2'!H280,IF($D40='W2'!$A$71,"")))))))))))))</f>
        <v/>
      </c>
      <c r="K40" s="367"/>
      <c r="L40" s="366" t="str">
        <f>IF($D40='W2'!$A$59,'W2'!F$59,IF($D40='W2'!$A$60,'W2'!F$60,IF($D40='W2'!$A$61,'W2'!F$61,IF($D40='W2'!$A$62,'W2'!F$62,IF($D40='W2'!$A$63,'W2'!F$63,IF($D40='W2'!$A$64,'W2'!F$64,IF($D40='W2'!$A$65,'W2'!F$65,IF($D40='W2'!$A$66,'W2'!F$66,IF($D40='W2'!$A$67,'W2'!F$67,IF($D40='W2'!$A$68,'W2'!J280,IF($D40='W2'!$A$69,'W2'!J280,IF($D40='W2'!$A$70,'W2'!J280,IF($D40='W2'!$A$71,"")))))))))))))</f>
        <v/>
      </c>
      <c r="M40" s="367"/>
      <c r="N40" s="187">
        <f>IF(N13=0,0,IF(AND($D40="F-SMRA",N13=0),0,IF(AND($D40="F-SMRB",N13=0),0,IF(AND($D40="F-SMRC",N13=0),0,IF($D40='W2'!$A$68,'W2'!B306,IF($D40='W2'!$A$69,'W2'!B306,IF($D40='W2'!$A$70,'W2'!B306,ROUND(('Subcontract 2'!N13/'W2'!$C$5*'W2'!$C$9*(IF('Subcontract 2'!$D40='W2'!$A$47,'W2'!B$47,IF('Subcontract 2'!$D40='W2'!$A$48,'W2'!B$48,IF('Subcontract 2'!$D40='W2'!$A$49,'W2'!B$49,IF('Subcontract 2'!$D40='W2'!$A$50,'W2'!B$50,IF('Subcontract 2'!$D40='W2'!$A$51,'W2'!B$51,IF('Subcontract 2'!$D40='W2'!$A$52,'W2'!B$52,IF('Subcontract 2'!$D40='W2'!$A$53,'W2'!B$53,IF('Subcontract 2'!$D40='W2'!$A$54,'W2'!B$54,IF('Subcontract 2'!$D40='W2'!$A$55,'W2'!B$55))))))))))),0)+ROUND(N13/'W2'!$C$5*'W2'!$C$10*(IF('Subcontract 2'!$D40='W2'!$A$47,'W2'!C$47,IF('Subcontract 2'!$D40='W2'!$A$48,'W2'!C$48,IF('Subcontract 2'!$D40='W2'!$A$49,'W2'!C$49,IF('Subcontract 2'!$D40='W2'!$A$50,'W2'!C$50,IF('Subcontract 2'!$D40='W2'!$A$51,'W2'!C$51,IF('Subcontract 2'!$D40='W2'!$A$52,'W2'!C$52,IF('Subcontract 2'!$D40='W2'!$A$53,'W2'!C$53,IF('Subcontract 2'!$D40='W2'!$A$54,'W2'!C$54,IF('Subcontract 2'!$D40='W2'!$A$55,'W2'!C$55)))))))))),0))))))))</f>
        <v>0</v>
      </c>
      <c r="O40" s="187">
        <f>IF(O13=0,0,IF(AND($D40="F-SMRA",O13=0),0,IF(AND($D40="F-SMRB",O13=0),0,IF(AND($D40="F-SMRC",O13=0),0,IF($D40='W2'!$A$68,'W2'!D306,IF($D40='W2'!$A$69,'W2'!D306,IF($D40='W2'!$A$70,'W2'!D306,ROUND(('Subcontract 2'!O13/'W2'!$D$5*'W2'!$D$9*(IF('Subcontract 2'!$D40='W2'!$A$47,'W2'!D$47,IF('Subcontract 2'!$D40='W2'!$A$48,'W2'!D$48,IF('Subcontract 2'!$D40='W2'!$A$49,'W2'!D$49,IF('Subcontract 2'!$D40='W2'!$A$50,'W2'!D$50,IF('Subcontract 2'!$D40='W2'!$A$51,'W2'!D$51,IF('Subcontract 2'!$D40='W2'!$A$52,'W2'!D$52,IF('Subcontract 2'!$D40='W2'!$A$53,'W2'!D$53,IF('Subcontract 2'!$D40='W2'!$A$54,'W2'!D$54,IF('Subcontract 2'!$D40='W2'!$A$55,'W2'!D$55))))))))))),0)+ROUND(O13/'W2'!$D$5*'W2'!$D$10*(IF('Subcontract 2'!$D40='W2'!$A$47,'W2'!E$47,IF('Subcontract 2'!$D40='W2'!$A$48,'W2'!E$48,IF('Subcontract 2'!$D40='W2'!$A$49,'W2'!E$49,IF('Subcontract 2'!$D40='W2'!$A$50,'W2'!E$50,IF('Subcontract 2'!$D40='W2'!$A$51,'W2'!E$51,IF('Subcontract 2'!$D40='W2'!$A$52,'W2'!E$52,IF('Subcontract 2'!$D40='W2'!$A$53,'W2'!E$53,IF('Subcontract 2'!$D40='W2'!$A$54,'W2'!E$54,IF('Subcontract 2'!$D40='W2'!$A$55,'W2'!E$55)))))))))),0))))))))</f>
        <v>0</v>
      </c>
      <c r="P40" s="187">
        <f>IF(P13=0,0,IF(AND($D40="F-SMRA",P13=0),0,IF(AND($D40="F-SMRB",P13=0),0,IF(AND($D40="F-SMRC",P13=0),0,IF($D40='W2'!$A$68,'W2'!F306,IF($D40='W2'!$A$69,'W2'!F306,IF($D40='W2'!$A$70,'W2'!F306,ROUND(('Subcontract 2'!P13/'W2'!$E$5*'W2'!$E$9*(IF('Subcontract 2'!$D40='W2'!$A$47,'W2'!F$47,IF('Subcontract 2'!$D40='W2'!$A$48,'W2'!F$48,IF('Subcontract 2'!$D40='W2'!$A$49,'W2'!F$49,IF('Subcontract 2'!$D40='W2'!$A$50,'W2'!F$50,IF('Subcontract 2'!$D40='W2'!$A$51,'W2'!F$51,IF('Subcontract 2'!$D40='W2'!$A$52,'W2'!F$52,IF('Subcontract 2'!$D40='W2'!$A$53,'W2'!F$53,IF('Subcontract 2'!$D40='W2'!$A$54,'W2'!F$54,IF('Subcontract 2'!$D40='W2'!$A$55,'W2'!F$55))))))))))),0)+ROUND(P13/'W2'!$E$5*'W2'!$E$10*(IF('Subcontract 2'!$D40='W2'!$A$47,'W2'!G$47,IF('Subcontract 2'!$D40='W2'!$A$48,'W2'!G$48,IF('Subcontract 2'!$D40='W2'!$A$49,'W2'!G$49,IF('Subcontract 2'!$D40='W2'!$A$50,'W2'!G$50,IF('Subcontract 2'!$D40='W2'!$A$51,'W2'!G$51,IF('Subcontract 2'!$D40='W2'!$A$52,'W2'!G$52,IF('Subcontract 2'!$D40='W2'!$A$53,'W2'!G$53,IF('Subcontract 2'!$D40='W2'!$A$54,'W2'!G$54,IF('Subcontract 2'!$D40='W2'!$A$55,'W2'!G$55)))))))))),0))))))))</f>
        <v>0</v>
      </c>
      <c r="Q40" s="187">
        <f>IF(Q13=0,0,IF(AND($D40="F-SMRA",Q13=0),0,IF(AND($D40="F-SMRB",Q13=0),0,IF(AND($D40="F-SMRC",Q13=0),0,IF($D40='W2'!$A$68,'W2'!H306,IF($D40='W2'!$A$69,'W2'!H306,IF($D40='W2'!$A$70,'W2'!H306,ROUND(('Subcontract 2'!Q13/'W2'!$F$5*'W2'!$F$9*(IF('Subcontract 2'!$D40='W2'!$A$47,'W2'!H$47,IF('Subcontract 2'!$D40='W2'!$A$48,'W2'!H$48,IF('Subcontract 2'!$D40='W2'!$A$49,'W2'!H$49,IF('Subcontract 2'!$D40='W2'!$A$50,'W2'!H$50,IF('Subcontract 2'!$D40='W2'!$A$51,'W2'!H$51,IF('Subcontract 2'!$D40='W2'!$A$52,'W2'!H$52,IF('Subcontract 2'!$D40='W2'!$A$53,'W2'!H$53,IF('Subcontract 2'!$D40='W2'!$A$54,'W2'!H$54,IF('Subcontract 2'!$D40='W2'!$A$55,'W2'!H$55))))))))))),0)+ROUND(Q13/'W2'!$F$5*'W2'!$F$10*(IF('Subcontract 2'!$D40='W2'!$A$47,'W2'!I$47,IF('Subcontract 2'!$D40='W2'!$A$48,'W2'!I$48,IF('Subcontract 2'!$D40='W2'!$A$49,'W2'!I$49,IF('Subcontract 2'!$D40='W2'!$A$50,'W2'!I$50,IF('Subcontract 2'!$D40='W2'!$A$51,'W2'!I$51,IF('Subcontract 2'!$D40='W2'!$A$52,'W2'!I$52,IF('Subcontract 2'!$D40='W2'!$A$53,'W2'!I$53,IF('Subcontract 2'!$D40='W2'!$A$54,'W2'!I$54,IF('Subcontract 2'!$D40='W2'!$A$55,'W2'!I$55)))))))))),0))))))))</f>
        <v>0</v>
      </c>
      <c r="R40" s="187">
        <f>IF(R13=0,0,IF(AND($D40="F-SMRA",R13=0),0,IF(AND($D40="F-SMRB",R13=0),0,IF(AND($D40="F-SMRC",R13=0),0,IF($D40='W2'!$A$68,'W2'!J306,IF($D40='W2'!$A$69,'W2'!J306,IF($D40='W2'!$A$70,'W2'!J306,ROUND(('Subcontract 2'!R13/'W2'!$G$5*'W2'!$G$9*(IF('Subcontract 2'!$D40='W2'!$A$47,'W2'!J$47,IF('Subcontract 2'!$D40='W2'!$A$48,'W2'!J$48,IF('Subcontract 2'!$D40='W2'!$A$49,'W2'!J$49,IF('Subcontract 2'!$D40='W2'!$A$50,'W2'!J$50,IF('Subcontract 2'!$D40='W2'!$A$51,'W2'!J$51,IF('Subcontract 2'!$D40='W2'!$A$52,'W2'!J$52,IF('Subcontract 2'!$D40='W2'!$A$53,'W2'!J$53,IF('Subcontract 2'!$D40='W2'!$A$54,'W2'!J$54,IF('Subcontract 2'!$D40='W2'!$A$55,'W2'!J$55))))))))))),0)+ROUND(R13/'W2'!$G$5*'W2'!$G$10*(IF('Subcontract 2'!$D40='W2'!$A$47,'W2'!K$47,IF('Subcontract 2'!$D40='W2'!$A$48,'W2'!K$48,IF('Subcontract 2'!$D40='W2'!$A$49,'W2'!K$49,IF('Subcontract 2'!$D40='W2'!$A$50,'W2'!K$50,IF('Subcontract 2'!$D40='W2'!$A$51,'W2'!K$51,IF('Subcontract 2'!$D40='W2'!$A$52,'W2'!K$52,IF('Subcontract 2'!$D40='W2'!$A$53,'W2'!K$53,IF('Subcontract 2'!$D40='W2'!$A$54,'W2'!K$54,IF('Subcontract 2'!$D40='W2'!$A$55,'W2'!K$55)))))))))),0))))))))</f>
        <v>0</v>
      </c>
      <c r="S40" s="187">
        <f t="shared" si="6"/>
        <v>0</v>
      </c>
      <c r="T40" s="248"/>
      <c r="U40" s="248"/>
      <c r="V40" s="248"/>
      <c r="W40" s="248"/>
      <c r="X40" s="248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hidden="1" x14ac:dyDescent="0.2">
      <c r="A41" s="92">
        <v>7</v>
      </c>
      <c r="B41" s="381">
        <f t="shared" si="4"/>
        <v>0</v>
      </c>
      <c r="C41" s="382"/>
      <c r="D41" s="199" t="s">
        <v>52</v>
      </c>
      <c r="E41" s="277" t="str">
        <f>IF($D41='W2'!$A$59,'W2'!B$59,IF($D41='W2'!$A$60,'W2'!B$60,IF($D41='W2'!$A$61,'W2'!B$61,IF($D41='W2'!$A$62,'W2'!B$62,IF($D41='W2'!$A$63,'W2'!B$63,IF($D41='W2'!$A$64,'W2'!B$64,IF($D41='W2'!$A$65,'W2'!B$65,IF($D41='W2'!$A$66,'W2'!B$66,IF($D41='W2'!$A$67,'W2'!B$67,IF($D41='W2'!$A$68,'W2'!B281,IF($D41='W2'!$A$69,'W2'!B281,IF($D41='W2'!$A$70,'W2'!B281,IF($D41='W2'!$A$71,"")))))))))))))</f>
        <v/>
      </c>
      <c r="F41" s="378" t="str">
        <f>IF($D41='W2'!$A$59,'W2'!C$59,IF($D41='W2'!$A$60,'W2'!C$60,IF($D41='W2'!$A$61,'W2'!C$61,IF($D41='W2'!$A$62,'W2'!C$62,IF($D41='W2'!$A$63,'W2'!C$63,IF($D41='W2'!$A$64,'W2'!C$64,IF($D41='W2'!$A$65,'W2'!C$65,IF($D41='W2'!$A$66,'W2'!C$66,IF($D41='W2'!$A$67,'W2'!C$67,IF($D41='W2'!$A$68,'W2'!D281,IF($D41='W2'!$A$69,'W2'!D281,IF($D41='W2'!$A$70,'W2'!D281,IF($D41='W2'!$A$71,"")))))))))))))</f>
        <v/>
      </c>
      <c r="G41" s="379"/>
      <c r="H41" s="366" t="str">
        <f>IF($D41='W2'!$A$59,'W2'!D$59,IF($D41='W2'!$A$60,'W2'!D$60,IF($D41='W2'!$A$61,'W2'!D$61,IF($D41='W2'!$A$62,'W2'!D$62,IF($D41='W2'!$A$63,'W2'!D$63,IF($D41='W2'!$A$64,'W2'!D$64,IF($D41='W2'!$A$65,'W2'!D$65,IF($D41='W2'!$A$66,'W2'!D$66,IF($D41='W2'!$A$67,'W2'!D$67,IF($D41='W2'!$A$68,'W2'!F281,IF($D41='W2'!$A$69,'W2'!F281,IF($D41='W2'!$A$70,'W2'!F281,IF($D41='W2'!$A$71,"")))))))))))))</f>
        <v/>
      </c>
      <c r="I41" s="367"/>
      <c r="J41" s="366" t="str">
        <f>IF($D41='W2'!$A$59,'W2'!E$59,IF($D41='W2'!$A$60,'W2'!E$60,IF($D41='W2'!$A$61,'W2'!E$61,IF($D41='W2'!$A$62,'W2'!E$62,IF($D41='W2'!$A$63,'W2'!E$63,IF($D41='W2'!$A$64,'W2'!E$64,IF($D41='W2'!$A$65,'W2'!E$65,IF($D41='W2'!$A$66,'W2'!E$66,IF($D41='W2'!$A$67,'W2'!E$67,IF($D41='W2'!$A$68,'W2'!H281,IF($D41='W2'!$A$69,'W2'!H281,IF($D41='W2'!$A$70,'W2'!H281,IF($D41='W2'!$A$71,"")))))))))))))</f>
        <v/>
      </c>
      <c r="K41" s="367"/>
      <c r="L41" s="366" t="str">
        <f>IF($D41='W2'!$A$59,'W2'!F$59,IF($D41='W2'!$A$60,'W2'!F$60,IF($D41='W2'!$A$61,'W2'!F$61,IF($D41='W2'!$A$62,'W2'!F$62,IF($D41='W2'!$A$63,'W2'!F$63,IF($D41='W2'!$A$64,'W2'!F$64,IF($D41='W2'!$A$65,'W2'!F$65,IF($D41='W2'!$A$66,'W2'!F$66,IF($D41='W2'!$A$67,'W2'!F$67,IF($D41='W2'!$A$68,'W2'!J281,IF($D41='W2'!$A$69,'W2'!J281,IF($D41='W2'!$A$70,'W2'!J281,IF($D41='W2'!$A$71,"")))))))))))))</f>
        <v/>
      </c>
      <c r="M41" s="367"/>
      <c r="N41" s="187">
        <f>IF(N14=0,0,IF(AND($D41="F-SMRA",N14=0),0,IF(AND($D41="F-SMRB",N14=0),0,IF(AND($D41="F-SMRC",N14=0),0,IF($D41='W2'!$A$68,'W2'!B307,IF($D41='W2'!$A$69,'W2'!B307,IF($D41='W2'!$A$70,'W2'!B307,ROUND(('Subcontract 2'!N14/'W2'!$C$5*'W2'!$C$9*(IF('Subcontract 2'!$D41='W2'!$A$47,'W2'!B$47,IF('Subcontract 2'!$D41='W2'!$A$48,'W2'!B$48,IF('Subcontract 2'!$D41='W2'!$A$49,'W2'!B$49,IF('Subcontract 2'!$D41='W2'!$A$50,'W2'!B$50,IF('Subcontract 2'!$D41='W2'!$A$51,'W2'!B$51,IF('Subcontract 2'!$D41='W2'!$A$52,'W2'!B$52,IF('Subcontract 2'!$D41='W2'!$A$53,'W2'!B$53,IF('Subcontract 2'!$D41='W2'!$A$54,'W2'!B$54,IF('Subcontract 2'!$D41='W2'!$A$55,'W2'!B$55))))))))))),0)+ROUND(N14/'W2'!$C$5*'W2'!$C$10*(IF('Subcontract 2'!$D41='W2'!$A$47,'W2'!C$47,IF('Subcontract 2'!$D41='W2'!$A$48,'W2'!C$48,IF('Subcontract 2'!$D41='W2'!$A$49,'W2'!C$49,IF('Subcontract 2'!$D41='W2'!$A$50,'W2'!C$50,IF('Subcontract 2'!$D41='W2'!$A$51,'W2'!C$51,IF('Subcontract 2'!$D41='W2'!$A$52,'W2'!C$52,IF('Subcontract 2'!$D41='W2'!$A$53,'W2'!C$53,IF('Subcontract 2'!$D41='W2'!$A$54,'W2'!C$54,IF('Subcontract 2'!$D41='W2'!$A$55,'W2'!C$55)))))))))),0))))))))</f>
        <v>0</v>
      </c>
      <c r="O41" s="187">
        <f>IF(O14=0,0,IF(AND($D41="F-SMRA",O14=0),0,IF(AND($D41="F-SMRB",O14=0),0,IF(AND($D41="F-SMRC",O14=0),0,IF($D41='W2'!$A$68,'W2'!D307,IF($D41='W2'!$A$69,'W2'!D307,IF($D41='W2'!$A$70,'W2'!D307,ROUND(('Subcontract 2'!O14/'W2'!$D$5*'W2'!$D$9*(IF('Subcontract 2'!$D41='W2'!$A$47,'W2'!D$47,IF('Subcontract 2'!$D41='W2'!$A$48,'W2'!D$48,IF('Subcontract 2'!$D41='W2'!$A$49,'W2'!D$49,IF('Subcontract 2'!$D41='W2'!$A$50,'W2'!D$50,IF('Subcontract 2'!$D41='W2'!$A$51,'W2'!D$51,IF('Subcontract 2'!$D41='W2'!$A$52,'W2'!D$52,IF('Subcontract 2'!$D41='W2'!$A$53,'W2'!D$53,IF('Subcontract 2'!$D41='W2'!$A$54,'W2'!D$54,IF('Subcontract 2'!$D41='W2'!$A$55,'W2'!D$55))))))))))),0)+ROUND(O14/'W2'!$D$5*'W2'!$D$10*(IF('Subcontract 2'!$D41='W2'!$A$47,'W2'!E$47,IF('Subcontract 2'!$D41='W2'!$A$48,'W2'!E$48,IF('Subcontract 2'!$D41='W2'!$A$49,'W2'!E$49,IF('Subcontract 2'!$D41='W2'!$A$50,'W2'!E$50,IF('Subcontract 2'!$D41='W2'!$A$51,'W2'!E$51,IF('Subcontract 2'!$D41='W2'!$A$52,'W2'!E$52,IF('Subcontract 2'!$D41='W2'!$A$53,'W2'!E$53,IF('Subcontract 2'!$D41='W2'!$A$54,'W2'!E$54,IF('Subcontract 2'!$D41='W2'!$A$55,'W2'!E$55)))))))))),0))))))))</f>
        <v>0</v>
      </c>
      <c r="P41" s="187">
        <f>IF(P14=0,0,IF(AND($D41="F-SMRA",P14=0),0,IF(AND($D41="F-SMRB",P14=0),0,IF(AND($D41="F-SMRC",P14=0),0,IF($D41='W2'!$A$68,'W2'!F307,IF($D41='W2'!$A$69,'W2'!F307,IF($D41='W2'!$A$70,'W2'!F307,ROUND(('Subcontract 2'!P14/'W2'!$E$5*'W2'!$E$9*(IF('Subcontract 2'!$D41='W2'!$A$47,'W2'!F$47,IF('Subcontract 2'!$D41='W2'!$A$48,'W2'!F$48,IF('Subcontract 2'!$D41='W2'!$A$49,'W2'!F$49,IF('Subcontract 2'!$D41='W2'!$A$50,'W2'!F$50,IF('Subcontract 2'!$D41='W2'!$A$51,'W2'!F$51,IF('Subcontract 2'!$D41='W2'!$A$52,'W2'!F$52,IF('Subcontract 2'!$D41='W2'!$A$53,'W2'!F$53,IF('Subcontract 2'!$D41='W2'!$A$54,'W2'!F$54,IF('Subcontract 2'!$D41='W2'!$A$55,'W2'!F$55))))))))))),0)+ROUND(P14/'W2'!$E$5*'W2'!$E$10*(IF('Subcontract 2'!$D41='W2'!$A$47,'W2'!G$47,IF('Subcontract 2'!$D41='W2'!$A$48,'W2'!G$48,IF('Subcontract 2'!$D41='W2'!$A$49,'W2'!G$49,IF('Subcontract 2'!$D41='W2'!$A$50,'W2'!G$50,IF('Subcontract 2'!$D41='W2'!$A$51,'W2'!G$51,IF('Subcontract 2'!$D41='W2'!$A$52,'W2'!G$52,IF('Subcontract 2'!$D41='W2'!$A$53,'W2'!G$53,IF('Subcontract 2'!$D41='W2'!$A$54,'W2'!G$54,IF('Subcontract 2'!$D41='W2'!$A$55,'W2'!G$55)))))))))),0))))))))</f>
        <v>0</v>
      </c>
      <c r="Q41" s="187">
        <f>IF(Q14=0,0,IF(AND($D41="F-SMRA",Q14=0),0,IF(AND($D41="F-SMRB",Q14=0),0,IF(AND($D41="F-SMRC",Q14=0),0,IF($D41='W2'!$A$68,'W2'!H307,IF($D41='W2'!$A$69,'W2'!H307,IF($D41='W2'!$A$70,'W2'!H307,ROUND(('Subcontract 2'!Q14/'W2'!$F$5*'W2'!$F$9*(IF('Subcontract 2'!$D41='W2'!$A$47,'W2'!H$47,IF('Subcontract 2'!$D41='W2'!$A$48,'W2'!H$48,IF('Subcontract 2'!$D41='W2'!$A$49,'W2'!H$49,IF('Subcontract 2'!$D41='W2'!$A$50,'W2'!H$50,IF('Subcontract 2'!$D41='W2'!$A$51,'W2'!H$51,IF('Subcontract 2'!$D41='W2'!$A$52,'W2'!H$52,IF('Subcontract 2'!$D41='W2'!$A$53,'W2'!H$53,IF('Subcontract 2'!$D41='W2'!$A$54,'W2'!H$54,IF('Subcontract 2'!$D41='W2'!$A$55,'W2'!H$55))))))))))),0)+ROUND(Q14/'W2'!$F$5*'W2'!$F$10*(IF('Subcontract 2'!$D41='W2'!$A$47,'W2'!I$47,IF('Subcontract 2'!$D41='W2'!$A$48,'W2'!I$48,IF('Subcontract 2'!$D41='W2'!$A$49,'W2'!I$49,IF('Subcontract 2'!$D41='W2'!$A$50,'W2'!I$50,IF('Subcontract 2'!$D41='W2'!$A$51,'W2'!I$51,IF('Subcontract 2'!$D41='W2'!$A$52,'W2'!I$52,IF('Subcontract 2'!$D41='W2'!$A$53,'W2'!I$53,IF('Subcontract 2'!$D41='W2'!$A$54,'W2'!I$54,IF('Subcontract 2'!$D41='W2'!$A$55,'W2'!I$55)))))))))),0))))))))</f>
        <v>0</v>
      </c>
      <c r="R41" s="187">
        <f>IF(R14=0,0,IF(AND($D41="F-SMRA",R14=0),0,IF(AND($D41="F-SMRB",R14=0),0,IF(AND($D41="F-SMRC",R14=0),0,IF($D41='W2'!$A$68,'W2'!J307,IF($D41='W2'!$A$69,'W2'!J307,IF($D41='W2'!$A$70,'W2'!J307,ROUND(('Subcontract 2'!R14/'W2'!$G$5*'W2'!$G$9*(IF('Subcontract 2'!$D41='W2'!$A$47,'W2'!J$47,IF('Subcontract 2'!$D41='W2'!$A$48,'W2'!J$48,IF('Subcontract 2'!$D41='W2'!$A$49,'W2'!J$49,IF('Subcontract 2'!$D41='W2'!$A$50,'W2'!J$50,IF('Subcontract 2'!$D41='W2'!$A$51,'W2'!J$51,IF('Subcontract 2'!$D41='W2'!$A$52,'W2'!J$52,IF('Subcontract 2'!$D41='W2'!$A$53,'W2'!J$53,IF('Subcontract 2'!$D41='W2'!$A$54,'W2'!J$54,IF('Subcontract 2'!$D41='W2'!$A$55,'W2'!J$55))))))))))),0)+ROUND(R14/'W2'!$G$5*'W2'!$G$10*(IF('Subcontract 2'!$D41='W2'!$A$47,'W2'!K$47,IF('Subcontract 2'!$D41='W2'!$A$48,'W2'!K$48,IF('Subcontract 2'!$D41='W2'!$A$49,'W2'!K$49,IF('Subcontract 2'!$D41='W2'!$A$50,'W2'!K$50,IF('Subcontract 2'!$D41='W2'!$A$51,'W2'!K$51,IF('Subcontract 2'!$D41='W2'!$A$52,'W2'!K$52,IF('Subcontract 2'!$D41='W2'!$A$53,'W2'!K$53,IF('Subcontract 2'!$D41='W2'!$A$54,'W2'!K$54,IF('Subcontract 2'!$D41='W2'!$A$55,'W2'!K$55)))))))))),0))))))))</f>
        <v>0</v>
      </c>
      <c r="S41" s="187">
        <f t="shared" si="6"/>
        <v>0</v>
      </c>
      <c r="T41" s="248"/>
      <c r="U41" s="248"/>
      <c r="V41" s="248"/>
      <c r="W41" s="248"/>
      <c r="X41" s="248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hidden="1" x14ac:dyDescent="0.2">
      <c r="A42" s="92">
        <v>8</v>
      </c>
      <c r="B42" s="381">
        <f t="shared" si="4"/>
        <v>0</v>
      </c>
      <c r="C42" s="382"/>
      <c r="D42" s="199" t="s">
        <v>52</v>
      </c>
      <c r="E42" s="277" t="str">
        <f>IF($D42='W2'!$A$59,'W2'!B$59,IF($D42='W2'!$A$60,'W2'!B$60,IF($D42='W2'!$A$61,'W2'!B$61,IF($D42='W2'!$A$62,'W2'!B$62,IF($D42='W2'!$A$63,'W2'!B$63,IF($D42='W2'!$A$64,'W2'!B$64,IF($D42='W2'!$A$65,'W2'!B$65,IF($D42='W2'!$A$66,'W2'!B$66,IF($D42='W2'!$A$67,'W2'!B$67,IF($D42='W2'!$A$68,'W2'!B282,IF($D42='W2'!$A$69,'W2'!B282,IF($D42='W2'!$A$70,'W2'!B282,IF($D42='W2'!$A$71,"")))))))))))))</f>
        <v/>
      </c>
      <c r="F42" s="378" t="str">
        <f>IF($D42='W2'!$A$59,'W2'!C$59,IF($D42='W2'!$A$60,'W2'!C$60,IF($D42='W2'!$A$61,'W2'!C$61,IF($D42='W2'!$A$62,'W2'!C$62,IF($D42='W2'!$A$63,'W2'!C$63,IF($D42='W2'!$A$64,'W2'!C$64,IF($D42='W2'!$A$65,'W2'!C$65,IF($D42='W2'!$A$66,'W2'!C$66,IF($D42='W2'!$A$67,'W2'!C$67,IF($D42='W2'!$A$68,'W2'!D282,IF($D42='W2'!$A$69,'W2'!D282,IF($D42='W2'!$A$70,'W2'!D282,IF($D42='W2'!$A$71,"")))))))))))))</f>
        <v/>
      </c>
      <c r="G42" s="379"/>
      <c r="H42" s="366" t="str">
        <f>IF($D42='W2'!$A$59,'W2'!D$59,IF($D42='W2'!$A$60,'W2'!D$60,IF($D42='W2'!$A$61,'W2'!D$61,IF($D42='W2'!$A$62,'W2'!D$62,IF($D42='W2'!$A$63,'W2'!D$63,IF($D42='W2'!$A$64,'W2'!D$64,IF($D42='W2'!$A$65,'W2'!D$65,IF($D42='W2'!$A$66,'W2'!D$66,IF($D42='W2'!$A$67,'W2'!D$67,IF($D42='W2'!$A$68,'W2'!F282,IF($D42='W2'!$A$69,'W2'!F282,IF($D42='W2'!$A$70,'W2'!F282,IF($D42='W2'!$A$71,"")))))))))))))</f>
        <v/>
      </c>
      <c r="I42" s="367"/>
      <c r="J42" s="366" t="str">
        <f>IF($D42='W2'!$A$59,'W2'!E$59,IF($D42='W2'!$A$60,'W2'!E$60,IF($D42='W2'!$A$61,'W2'!E$61,IF($D42='W2'!$A$62,'W2'!E$62,IF($D42='W2'!$A$63,'W2'!E$63,IF($D42='W2'!$A$64,'W2'!E$64,IF($D42='W2'!$A$65,'W2'!E$65,IF($D42='W2'!$A$66,'W2'!E$66,IF($D42='W2'!$A$67,'W2'!E$67,IF($D42='W2'!$A$68,'W2'!H282,IF($D42='W2'!$A$69,'W2'!H282,IF($D42='W2'!$A$70,'W2'!H282,IF($D42='W2'!$A$71,"")))))))))))))</f>
        <v/>
      </c>
      <c r="K42" s="367"/>
      <c r="L42" s="366" t="str">
        <f>IF($D42='W2'!$A$59,'W2'!F$59,IF($D42='W2'!$A$60,'W2'!F$60,IF($D42='W2'!$A$61,'W2'!F$61,IF($D42='W2'!$A$62,'W2'!F$62,IF($D42='W2'!$A$63,'W2'!F$63,IF($D42='W2'!$A$64,'W2'!F$64,IF($D42='W2'!$A$65,'W2'!F$65,IF($D42='W2'!$A$66,'W2'!F$66,IF($D42='W2'!$A$67,'W2'!F$67,IF($D42='W2'!$A$68,'W2'!J282,IF($D42='W2'!$A$69,'W2'!J282,IF($D42='W2'!$A$70,'W2'!J282,IF($D42='W2'!$A$71,"")))))))))))))</f>
        <v/>
      </c>
      <c r="M42" s="367"/>
      <c r="N42" s="187">
        <f>IF(N15=0,0,IF(AND($D42="F-SMRA",N15=0),0,IF(AND($D42="F-SMRB",N15=0),0,IF(AND($D42="F-SMRC",N15=0),0,IF($D42='W2'!$A$68,'W2'!B308,IF($D42='W2'!$A$69,'W2'!B308,IF($D42='W2'!$A$70,'W2'!B308,ROUND(('Subcontract 2'!N15/'W2'!$C$5*'W2'!$C$9*(IF('Subcontract 2'!$D42='W2'!$A$47,'W2'!B$47,IF('Subcontract 2'!$D42='W2'!$A$48,'W2'!B$48,IF('Subcontract 2'!$D42='W2'!$A$49,'W2'!B$49,IF('Subcontract 2'!$D42='W2'!$A$50,'W2'!B$50,IF('Subcontract 2'!$D42='W2'!$A$51,'W2'!B$51,IF('Subcontract 2'!$D42='W2'!$A$52,'W2'!B$52,IF('Subcontract 2'!$D42='W2'!$A$53,'W2'!B$53,IF('Subcontract 2'!$D42='W2'!$A$54,'W2'!B$54,IF('Subcontract 2'!$D42='W2'!$A$55,'W2'!B$55))))))))))),0)+ROUND(N15/'W2'!$C$5*'W2'!$C$10*(IF('Subcontract 2'!$D42='W2'!$A$47,'W2'!C$47,IF('Subcontract 2'!$D42='W2'!$A$48,'W2'!C$48,IF('Subcontract 2'!$D42='W2'!$A$49,'W2'!C$49,IF('Subcontract 2'!$D42='W2'!$A$50,'W2'!C$50,IF('Subcontract 2'!$D42='W2'!$A$51,'W2'!C$51,IF('Subcontract 2'!$D42='W2'!$A$52,'W2'!C$52,IF('Subcontract 2'!$D42='W2'!$A$53,'W2'!C$53,IF('Subcontract 2'!$D42='W2'!$A$54,'W2'!C$54,IF('Subcontract 2'!$D42='W2'!$A$55,'W2'!C$55)))))))))),0))))))))</f>
        <v>0</v>
      </c>
      <c r="O42" s="187">
        <f>IF(O15=0,0,IF(AND($D42="F-SMRA",O15=0),0,IF(AND($D42="F-SMRB",O15=0),0,IF(AND($D42="F-SMRC",O15=0),0,IF($D42='W2'!$A$68,'W2'!D308,IF($D42='W2'!$A$69,'W2'!D308,IF($D42='W2'!$A$70,'W2'!D308,ROUND(('Subcontract 2'!O15/'W2'!$D$5*'W2'!$D$9*(IF('Subcontract 2'!$D42='W2'!$A$47,'W2'!D$47,IF('Subcontract 2'!$D42='W2'!$A$48,'W2'!D$48,IF('Subcontract 2'!$D42='W2'!$A$49,'W2'!D$49,IF('Subcontract 2'!$D42='W2'!$A$50,'W2'!D$50,IF('Subcontract 2'!$D42='W2'!$A$51,'W2'!D$51,IF('Subcontract 2'!$D42='W2'!$A$52,'W2'!D$52,IF('Subcontract 2'!$D42='W2'!$A$53,'W2'!D$53,IF('Subcontract 2'!$D42='W2'!$A$54,'W2'!D$54,IF('Subcontract 2'!$D42='W2'!$A$55,'W2'!D$55))))))))))),0)+ROUND(O15/'W2'!$D$5*'W2'!$D$10*(IF('Subcontract 2'!$D42='W2'!$A$47,'W2'!E$47,IF('Subcontract 2'!$D42='W2'!$A$48,'W2'!E$48,IF('Subcontract 2'!$D42='W2'!$A$49,'W2'!E$49,IF('Subcontract 2'!$D42='W2'!$A$50,'W2'!E$50,IF('Subcontract 2'!$D42='W2'!$A$51,'W2'!E$51,IF('Subcontract 2'!$D42='W2'!$A$52,'W2'!E$52,IF('Subcontract 2'!$D42='W2'!$A$53,'W2'!E$53,IF('Subcontract 2'!$D42='W2'!$A$54,'W2'!E$54,IF('Subcontract 2'!$D42='W2'!$A$55,'W2'!E$55)))))))))),0))))))))</f>
        <v>0</v>
      </c>
      <c r="P42" s="187">
        <f>IF(P15=0,0,IF(AND($D42="F-SMRA",P15=0),0,IF(AND($D42="F-SMRB",P15=0),0,IF(AND($D42="F-SMRC",P15=0),0,IF($D42='W2'!$A$68,'W2'!F308,IF($D42='W2'!$A$69,'W2'!F308,IF($D42='W2'!$A$70,'W2'!F308,ROUND(('Subcontract 2'!P15/'W2'!$E$5*'W2'!$E$9*(IF('Subcontract 2'!$D42='W2'!$A$47,'W2'!F$47,IF('Subcontract 2'!$D42='W2'!$A$48,'W2'!F$48,IF('Subcontract 2'!$D42='W2'!$A$49,'W2'!F$49,IF('Subcontract 2'!$D42='W2'!$A$50,'W2'!F$50,IF('Subcontract 2'!$D42='W2'!$A$51,'W2'!F$51,IF('Subcontract 2'!$D42='W2'!$A$52,'W2'!F$52,IF('Subcontract 2'!$D42='W2'!$A$53,'W2'!F$53,IF('Subcontract 2'!$D42='W2'!$A$54,'W2'!F$54,IF('Subcontract 2'!$D42='W2'!$A$55,'W2'!F$55))))))))))),0)+ROUND(P15/'W2'!$E$5*'W2'!$E$10*(IF('Subcontract 2'!$D42='W2'!$A$47,'W2'!G$47,IF('Subcontract 2'!$D42='W2'!$A$48,'W2'!G$48,IF('Subcontract 2'!$D42='W2'!$A$49,'W2'!G$49,IF('Subcontract 2'!$D42='W2'!$A$50,'W2'!G$50,IF('Subcontract 2'!$D42='W2'!$A$51,'W2'!G$51,IF('Subcontract 2'!$D42='W2'!$A$52,'W2'!G$52,IF('Subcontract 2'!$D42='W2'!$A$53,'W2'!G$53,IF('Subcontract 2'!$D42='W2'!$A$54,'W2'!G$54,IF('Subcontract 2'!$D42='W2'!$A$55,'W2'!G$55)))))))))),0))))))))</f>
        <v>0</v>
      </c>
      <c r="Q42" s="187">
        <f>IF(Q15=0,0,IF(AND($D42="F-SMRA",Q15=0),0,IF(AND($D42="F-SMRB",Q15=0),0,IF(AND($D42="F-SMRC",Q15=0),0,IF($D42='W2'!$A$68,'W2'!H308,IF($D42='W2'!$A$69,'W2'!H308,IF($D42='W2'!$A$70,'W2'!H308,ROUND(('Subcontract 2'!Q15/'W2'!$F$5*'W2'!$F$9*(IF('Subcontract 2'!$D42='W2'!$A$47,'W2'!H$47,IF('Subcontract 2'!$D42='W2'!$A$48,'W2'!H$48,IF('Subcontract 2'!$D42='W2'!$A$49,'W2'!H$49,IF('Subcontract 2'!$D42='W2'!$A$50,'W2'!H$50,IF('Subcontract 2'!$D42='W2'!$A$51,'W2'!H$51,IF('Subcontract 2'!$D42='W2'!$A$52,'W2'!H$52,IF('Subcontract 2'!$D42='W2'!$A$53,'W2'!H$53,IF('Subcontract 2'!$D42='W2'!$A$54,'W2'!H$54,IF('Subcontract 2'!$D42='W2'!$A$55,'W2'!H$55))))))))))),0)+ROUND(Q15/'W2'!$F$5*'W2'!$F$10*(IF('Subcontract 2'!$D42='W2'!$A$47,'W2'!I$47,IF('Subcontract 2'!$D42='W2'!$A$48,'W2'!I$48,IF('Subcontract 2'!$D42='W2'!$A$49,'W2'!I$49,IF('Subcontract 2'!$D42='W2'!$A$50,'W2'!I$50,IF('Subcontract 2'!$D42='W2'!$A$51,'W2'!I$51,IF('Subcontract 2'!$D42='W2'!$A$52,'W2'!I$52,IF('Subcontract 2'!$D42='W2'!$A$53,'W2'!I$53,IF('Subcontract 2'!$D42='W2'!$A$54,'W2'!I$54,IF('Subcontract 2'!$D42='W2'!$A$55,'W2'!I$55)))))))))),0))))))))</f>
        <v>0</v>
      </c>
      <c r="R42" s="187">
        <f>IF(R15=0,0,IF(AND($D42="F-SMRA",R15=0),0,IF(AND($D42="F-SMRB",R15=0),0,IF(AND($D42="F-SMRC",R15=0),0,IF($D42='W2'!$A$68,'W2'!J308,IF($D42='W2'!$A$69,'W2'!J308,IF($D42='W2'!$A$70,'W2'!J308,ROUND(('Subcontract 2'!R15/'W2'!$G$5*'W2'!$G$9*(IF('Subcontract 2'!$D42='W2'!$A$47,'W2'!J$47,IF('Subcontract 2'!$D42='W2'!$A$48,'W2'!J$48,IF('Subcontract 2'!$D42='W2'!$A$49,'W2'!J$49,IF('Subcontract 2'!$D42='W2'!$A$50,'W2'!J$50,IF('Subcontract 2'!$D42='W2'!$A$51,'W2'!J$51,IF('Subcontract 2'!$D42='W2'!$A$52,'W2'!J$52,IF('Subcontract 2'!$D42='W2'!$A$53,'W2'!J$53,IF('Subcontract 2'!$D42='W2'!$A$54,'W2'!J$54,IF('Subcontract 2'!$D42='W2'!$A$55,'W2'!J$55))))))))))),0)+ROUND(R15/'W2'!$G$5*'W2'!$G$10*(IF('Subcontract 2'!$D42='W2'!$A$47,'W2'!K$47,IF('Subcontract 2'!$D42='W2'!$A$48,'W2'!K$48,IF('Subcontract 2'!$D42='W2'!$A$49,'W2'!K$49,IF('Subcontract 2'!$D42='W2'!$A$50,'W2'!K$50,IF('Subcontract 2'!$D42='W2'!$A$51,'W2'!K$51,IF('Subcontract 2'!$D42='W2'!$A$52,'W2'!K$52,IF('Subcontract 2'!$D42='W2'!$A$53,'W2'!K$53,IF('Subcontract 2'!$D42='W2'!$A$54,'W2'!K$54,IF('Subcontract 2'!$D42='W2'!$A$55,'W2'!K$55)))))))))),0))))))))</f>
        <v>0</v>
      </c>
      <c r="S42" s="187">
        <f t="shared" si="6"/>
        <v>0</v>
      </c>
      <c r="T42" s="248"/>
      <c r="U42" s="248"/>
      <c r="V42" s="248"/>
      <c r="W42" s="248"/>
      <c r="X42" s="248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hidden="1" x14ac:dyDescent="0.2">
      <c r="A43" s="92">
        <v>9</v>
      </c>
      <c r="B43" s="381">
        <f t="shared" si="4"/>
        <v>0</v>
      </c>
      <c r="C43" s="382"/>
      <c r="D43" s="199" t="s">
        <v>52</v>
      </c>
      <c r="E43" s="277" t="str">
        <f>IF($D43='W2'!$A$59,'W2'!B$59,IF($D43='W2'!$A$60,'W2'!B$60,IF($D43='W2'!$A$61,'W2'!B$61,IF($D43='W2'!$A$62,'W2'!B$62,IF($D43='W2'!$A$63,'W2'!B$63,IF($D43='W2'!$A$64,'W2'!B$64,IF($D43='W2'!$A$65,'W2'!B$65,IF($D43='W2'!$A$66,'W2'!B$66,IF($D43='W2'!$A$67,'W2'!B$67,IF($D43='W2'!$A$68,'W2'!B283,IF($D43='W2'!$A$69,'W2'!B283,IF($D43='W2'!$A$70,'W2'!B283,IF($D43='W2'!$A$71,"")))))))))))))</f>
        <v/>
      </c>
      <c r="F43" s="378" t="str">
        <f>IF($D43='W2'!$A$59,'W2'!C$59,IF($D43='W2'!$A$60,'W2'!C$60,IF($D43='W2'!$A$61,'W2'!C$61,IF($D43='W2'!$A$62,'W2'!C$62,IF($D43='W2'!$A$63,'W2'!C$63,IF($D43='W2'!$A$64,'W2'!C$64,IF($D43='W2'!$A$65,'W2'!C$65,IF($D43='W2'!$A$66,'W2'!C$66,IF($D43='W2'!$A$67,'W2'!C$67,IF($D43='W2'!$A$68,'W2'!D283,IF($D43='W2'!$A$69,'W2'!D283,IF($D43='W2'!$A$70,'W2'!D283,IF($D43='W2'!$A$71,"")))))))))))))</f>
        <v/>
      </c>
      <c r="G43" s="379"/>
      <c r="H43" s="366" t="str">
        <f>IF($D43='W2'!$A$59,'W2'!D$59,IF($D43='W2'!$A$60,'W2'!D$60,IF($D43='W2'!$A$61,'W2'!D$61,IF($D43='W2'!$A$62,'W2'!D$62,IF($D43='W2'!$A$63,'W2'!D$63,IF($D43='W2'!$A$64,'W2'!D$64,IF($D43='W2'!$A$65,'W2'!D$65,IF($D43='W2'!$A$66,'W2'!D$66,IF($D43='W2'!$A$67,'W2'!D$67,IF($D43='W2'!$A$68,'W2'!F283,IF($D43='W2'!$A$69,'W2'!F283,IF($D43='W2'!$A$70,'W2'!F283,IF($D43='W2'!$A$71,"")))))))))))))</f>
        <v/>
      </c>
      <c r="I43" s="367"/>
      <c r="J43" s="366" t="str">
        <f>IF($D43='W2'!$A$59,'W2'!E$59,IF($D43='W2'!$A$60,'W2'!E$60,IF($D43='W2'!$A$61,'W2'!E$61,IF($D43='W2'!$A$62,'W2'!E$62,IF($D43='W2'!$A$63,'W2'!E$63,IF($D43='W2'!$A$64,'W2'!E$64,IF($D43='W2'!$A$65,'W2'!E$65,IF($D43='W2'!$A$66,'W2'!E$66,IF($D43='W2'!$A$67,'W2'!E$67,IF($D43='W2'!$A$68,'W2'!H283,IF($D43='W2'!$A$69,'W2'!H283,IF($D43='W2'!$A$70,'W2'!H283,IF($D43='W2'!$A$71,"")))))))))))))</f>
        <v/>
      </c>
      <c r="K43" s="367"/>
      <c r="L43" s="366" t="str">
        <f>IF($D43='W2'!$A$59,'W2'!F$59,IF($D43='W2'!$A$60,'W2'!F$60,IF($D43='W2'!$A$61,'W2'!F$61,IF($D43='W2'!$A$62,'W2'!F$62,IF($D43='W2'!$A$63,'W2'!F$63,IF($D43='W2'!$A$64,'W2'!F$64,IF($D43='W2'!$A$65,'W2'!F$65,IF($D43='W2'!$A$66,'W2'!F$66,IF($D43='W2'!$A$67,'W2'!F$67,IF($D43='W2'!$A$68,'W2'!J283,IF($D43='W2'!$A$69,'W2'!J283,IF($D43='W2'!$A$70,'W2'!J283,IF($D43='W2'!$A$71,"")))))))))))))</f>
        <v/>
      </c>
      <c r="M43" s="367"/>
      <c r="N43" s="187">
        <f>IF(N16=0,0,IF(AND($D43="F-SMRA",N16=0),0,IF(AND($D43="F-SMRB",N16=0),0,IF(AND($D43="F-SMRC",N16=0),0,IF($D43='W2'!$A$68,'W2'!B309,IF($D43='W2'!$A$69,'W2'!B309,IF($D43='W2'!$A$70,'W2'!B309,ROUND(('Subcontract 2'!N16/'W2'!$C$5*'W2'!$C$9*(IF('Subcontract 2'!$D43='W2'!$A$47,'W2'!B$47,IF('Subcontract 2'!$D43='W2'!$A$48,'W2'!B$48,IF('Subcontract 2'!$D43='W2'!$A$49,'W2'!B$49,IF('Subcontract 2'!$D43='W2'!$A$50,'W2'!B$50,IF('Subcontract 2'!$D43='W2'!$A$51,'W2'!B$51,IF('Subcontract 2'!$D43='W2'!$A$52,'W2'!B$52,IF('Subcontract 2'!$D43='W2'!$A$53,'W2'!B$53,IF('Subcontract 2'!$D43='W2'!$A$54,'W2'!B$54,IF('Subcontract 2'!$D43='W2'!$A$55,'W2'!B$55))))))))))),0)+ROUND(N16/'W2'!$C$5*'W2'!$C$10*(IF('Subcontract 2'!$D43='W2'!$A$47,'W2'!C$47,IF('Subcontract 2'!$D43='W2'!$A$48,'W2'!C$48,IF('Subcontract 2'!$D43='W2'!$A$49,'W2'!C$49,IF('Subcontract 2'!$D43='W2'!$A$50,'W2'!C$50,IF('Subcontract 2'!$D43='W2'!$A$51,'W2'!C$51,IF('Subcontract 2'!$D43='W2'!$A$52,'W2'!C$52,IF('Subcontract 2'!$D43='W2'!$A$53,'W2'!C$53,IF('Subcontract 2'!$D43='W2'!$A$54,'W2'!C$54,IF('Subcontract 2'!$D43='W2'!$A$55,'W2'!C$55)))))))))),0))))))))</f>
        <v>0</v>
      </c>
      <c r="O43" s="187">
        <f>IF(O16=0,0,IF(AND($D43="F-SMRA",O16=0),0,IF(AND($D43="F-SMRB",O16=0),0,IF(AND($D43="F-SMRC",O16=0),0,IF($D43='W2'!$A$68,'W2'!D309,IF($D43='W2'!$A$69,'W2'!D309,IF($D43='W2'!$A$70,'W2'!D309,ROUND(('Subcontract 2'!O16/'W2'!$D$5*'W2'!$D$9*(IF('Subcontract 2'!$D43='W2'!$A$47,'W2'!D$47,IF('Subcontract 2'!$D43='W2'!$A$48,'W2'!D$48,IF('Subcontract 2'!$D43='W2'!$A$49,'W2'!D$49,IF('Subcontract 2'!$D43='W2'!$A$50,'W2'!D$50,IF('Subcontract 2'!$D43='W2'!$A$51,'W2'!D$51,IF('Subcontract 2'!$D43='W2'!$A$52,'W2'!D$52,IF('Subcontract 2'!$D43='W2'!$A$53,'W2'!D$53,IF('Subcontract 2'!$D43='W2'!$A$54,'W2'!D$54,IF('Subcontract 2'!$D43='W2'!$A$55,'W2'!D$55))))))))))),0)+ROUND(O16/'W2'!$D$5*'W2'!$D$10*(IF('Subcontract 2'!$D43='W2'!$A$47,'W2'!E$47,IF('Subcontract 2'!$D43='W2'!$A$48,'W2'!E$48,IF('Subcontract 2'!$D43='W2'!$A$49,'W2'!E$49,IF('Subcontract 2'!$D43='W2'!$A$50,'W2'!E$50,IF('Subcontract 2'!$D43='W2'!$A$51,'W2'!E$51,IF('Subcontract 2'!$D43='W2'!$A$52,'W2'!E$52,IF('Subcontract 2'!$D43='W2'!$A$53,'W2'!E$53,IF('Subcontract 2'!$D43='W2'!$A$54,'W2'!E$54,IF('Subcontract 2'!$D43='W2'!$A$55,'W2'!E$55)))))))))),0))))))))</f>
        <v>0</v>
      </c>
      <c r="P43" s="187">
        <f>IF(P16=0,0,IF(AND($D43="F-SMRA",P16=0),0,IF(AND($D43="F-SMRB",P16=0),0,IF(AND($D43="F-SMRC",P16=0),0,IF($D43='W2'!$A$68,'W2'!F309,IF($D43='W2'!$A$69,'W2'!F309,IF($D43='W2'!$A$70,'W2'!F309,ROUND(('Subcontract 2'!P16/'W2'!$E$5*'W2'!$E$9*(IF('Subcontract 2'!$D43='W2'!$A$47,'W2'!F$47,IF('Subcontract 2'!$D43='W2'!$A$48,'W2'!F$48,IF('Subcontract 2'!$D43='W2'!$A$49,'W2'!F$49,IF('Subcontract 2'!$D43='W2'!$A$50,'W2'!F$50,IF('Subcontract 2'!$D43='W2'!$A$51,'W2'!F$51,IF('Subcontract 2'!$D43='W2'!$A$52,'W2'!F$52,IF('Subcontract 2'!$D43='W2'!$A$53,'W2'!F$53,IF('Subcontract 2'!$D43='W2'!$A$54,'W2'!F$54,IF('Subcontract 2'!$D43='W2'!$A$55,'W2'!F$55))))))))))),0)+ROUND(P16/'W2'!$E$5*'W2'!$E$10*(IF('Subcontract 2'!$D43='W2'!$A$47,'W2'!G$47,IF('Subcontract 2'!$D43='W2'!$A$48,'W2'!G$48,IF('Subcontract 2'!$D43='W2'!$A$49,'W2'!G$49,IF('Subcontract 2'!$D43='W2'!$A$50,'W2'!G$50,IF('Subcontract 2'!$D43='W2'!$A$51,'W2'!G$51,IF('Subcontract 2'!$D43='W2'!$A$52,'W2'!G$52,IF('Subcontract 2'!$D43='W2'!$A$53,'W2'!G$53,IF('Subcontract 2'!$D43='W2'!$A$54,'W2'!G$54,IF('Subcontract 2'!$D43='W2'!$A$55,'W2'!G$55)))))))))),0))))))))</f>
        <v>0</v>
      </c>
      <c r="Q43" s="187">
        <f>IF(Q16=0,0,IF(AND($D43="F-SMRA",Q16=0),0,IF(AND($D43="F-SMRB",Q16=0),0,IF(AND($D43="F-SMRC",Q16=0),0,IF($D43='W2'!$A$68,'W2'!H309,IF($D43='W2'!$A$69,'W2'!H309,IF($D43='W2'!$A$70,'W2'!H309,ROUND(('Subcontract 2'!Q16/'W2'!$F$5*'W2'!$F$9*(IF('Subcontract 2'!$D43='W2'!$A$47,'W2'!H$47,IF('Subcontract 2'!$D43='W2'!$A$48,'W2'!H$48,IF('Subcontract 2'!$D43='W2'!$A$49,'W2'!H$49,IF('Subcontract 2'!$D43='W2'!$A$50,'W2'!H$50,IF('Subcontract 2'!$D43='W2'!$A$51,'W2'!H$51,IF('Subcontract 2'!$D43='W2'!$A$52,'W2'!H$52,IF('Subcontract 2'!$D43='W2'!$A$53,'W2'!H$53,IF('Subcontract 2'!$D43='W2'!$A$54,'W2'!H$54,IF('Subcontract 2'!$D43='W2'!$A$55,'W2'!H$55))))))))))),0)+ROUND(Q16/'W2'!$F$5*'W2'!$F$10*(IF('Subcontract 2'!$D43='W2'!$A$47,'W2'!I$47,IF('Subcontract 2'!$D43='W2'!$A$48,'W2'!I$48,IF('Subcontract 2'!$D43='W2'!$A$49,'W2'!I$49,IF('Subcontract 2'!$D43='W2'!$A$50,'W2'!I$50,IF('Subcontract 2'!$D43='W2'!$A$51,'W2'!I$51,IF('Subcontract 2'!$D43='W2'!$A$52,'W2'!I$52,IF('Subcontract 2'!$D43='W2'!$A$53,'W2'!I$53,IF('Subcontract 2'!$D43='W2'!$A$54,'W2'!I$54,IF('Subcontract 2'!$D43='W2'!$A$55,'W2'!I$55)))))))))),0))))))))</f>
        <v>0</v>
      </c>
      <c r="R43" s="187">
        <f>IF(R16=0,0,IF(AND($D43="F-SMRA",R16=0),0,IF(AND($D43="F-SMRB",R16=0),0,IF(AND($D43="F-SMRC",R16=0),0,IF($D43='W2'!$A$68,'W2'!J309,IF($D43='W2'!$A$69,'W2'!J309,IF($D43='W2'!$A$70,'W2'!J309,ROUND(('Subcontract 2'!R16/'W2'!$G$5*'W2'!$G$9*(IF('Subcontract 2'!$D43='W2'!$A$47,'W2'!J$47,IF('Subcontract 2'!$D43='W2'!$A$48,'W2'!J$48,IF('Subcontract 2'!$D43='W2'!$A$49,'W2'!J$49,IF('Subcontract 2'!$D43='W2'!$A$50,'W2'!J$50,IF('Subcontract 2'!$D43='W2'!$A$51,'W2'!J$51,IF('Subcontract 2'!$D43='W2'!$A$52,'W2'!J$52,IF('Subcontract 2'!$D43='W2'!$A$53,'W2'!J$53,IF('Subcontract 2'!$D43='W2'!$A$54,'W2'!J$54,IF('Subcontract 2'!$D43='W2'!$A$55,'W2'!J$55))))))))))),0)+ROUND(R16/'W2'!$G$5*'W2'!$G$10*(IF('Subcontract 2'!$D43='W2'!$A$47,'W2'!K$47,IF('Subcontract 2'!$D43='W2'!$A$48,'W2'!K$48,IF('Subcontract 2'!$D43='W2'!$A$49,'W2'!K$49,IF('Subcontract 2'!$D43='W2'!$A$50,'W2'!K$50,IF('Subcontract 2'!$D43='W2'!$A$51,'W2'!K$51,IF('Subcontract 2'!$D43='W2'!$A$52,'W2'!K$52,IF('Subcontract 2'!$D43='W2'!$A$53,'W2'!K$53,IF('Subcontract 2'!$D43='W2'!$A$54,'W2'!K$54,IF('Subcontract 2'!$D43='W2'!$A$55,'W2'!K$55)))))))))),0))))))))</f>
        <v>0</v>
      </c>
      <c r="S43" s="187">
        <f t="shared" si="6"/>
        <v>0</v>
      </c>
      <c r="T43" s="248"/>
      <c r="U43" s="248"/>
      <c r="V43" s="248"/>
      <c r="W43" s="248"/>
      <c r="X43" s="248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hidden="1" x14ac:dyDescent="0.2">
      <c r="A44" s="92">
        <v>10</v>
      </c>
      <c r="B44" s="381">
        <f t="shared" si="4"/>
        <v>0</v>
      </c>
      <c r="C44" s="382"/>
      <c r="D44" s="199" t="s">
        <v>52</v>
      </c>
      <c r="E44" s="277" t="str">
        <f>IF($D44='W2'!$A$59,'W2'!B$59,IF($D44='W2'!$A$60,'W2'!B$60,IF($D44='W2'!$A$61,'W2'!B$61,IF($D44='W2'!$A$62,'W2'!B$62,IF($D44='W2'!$A$63,'W2'!B$63,IF($D44='W2'!$A$64,'W2'!B$64,IF($D44='W2'!$A$65,'W2'!B$65,IF($D44='W2'!$A$66,'W2'!B$66,IF($D44='W2'!$A$67,'W2'!B$67,IF($D44='W2'!$A$68,'W2'!B284,IF($D44='W2'!$A$69,'W2'!B284,IF($D44='W2'!$A$70,'W2'!B284,IF($D44='W2'!$A$71,"")))))))))))))</f>
        <v/>
      </c>
      <c r="F44" s="378" t="str">
        <f>IF($D44='W2'!$A$59,'W2'!C$59,IF($D44='W2'!$A$60,'W2'!C$60,IF($D44='W2'!$A$61,'W2'!C$61,IF($D44='W2'!$A$62,'W2'!C$62,IF($D44='W2'!$A$63,'W2'!C$63,IF($D44='W2'!$A$64,'W2'!C$64,IF($D44='W2'!$A$65,'W2'!C$65,IF($D44='W2'!$A$66,'W2'!C$66,IF($D44='W2'!$A$67,'W2'!C$67,IF($D44='W2'!$A$68,'W2'!D284,IF($D44='W2'!$A$69,'W2'!D284,IF($D44='W2'!$A$70,'W2'!D284,IF($D44='W2'!$A$71,"")))))))))))))</f>
        <v/>
      </c>
      <c r="G44" s="379"/>
      <c r="H44" s="366" t="str">
        <f>IF($D44='W2'!$A$59,'W2'!D$59,IF($D44='W2'!$A$60,'W2'!D$60,IF($D44='W2'!$A$61,'W2'!D$61,IF($D44='W2'!$A$62,'W2'!D$62,IF($D44='W2'!$A$63,'W2'!D$63,IF($D44='W2'!$A$64,'W2'!D$64,IF($D44='W2'!$A$65,'W2'!D$65,IF($D44='W2'!$A$66,'W2'!D$66,IF($D44='W2'!$A$67,'W2'!D$67,IF($D44='W2'!$A$68,'W2'!F284,IF($D44='W2'!$A$69,'W2'!F284,IF($D44='W2'!$A$70,'W2'!F284,IF($D44='W2'!$A$71,"")))))))))))))</f>
        <v/>
      </c>
      <c r="I44" s="367"/>
      <c r="J44" s="366" t="str">
        <f>IF($D44='W2'!$A$59,'W2'!E$59,IF($D44='W2'!$A$60,'W2'!E$60,IF($D44='W2'!$A$61,'W2'!E$61,IF($D44='W2'!$A$62,'W2'!E$62,IF($D44='W2'!$A$63,'W2'!E$63,IF($D44='W2'!$A$64,'W2'!E$64,IF($D44='W2'!$A$65,'W2'!E$65,IF($D44='W2'!$A$66,'W2'!E$66,IF($D44='W2'!$A$67,'W2'!E$67,IF($D44='W2'!$A$68,'W2'!H284,IF($D44='W2'!$A$69,'W2'!H284,IF($D44='W2'!$A$70,'W2'!H284,IF($D44='W2'!$A$71,"")))))))))))))</f>
        <v/>
      </c>
      <c r="K44" s="367"/>
      <c r="L44" s="366" t="str">
        <f>IF($D44='W2'!$A$59,'W2'!F$59,IF($D44='W2'!$A$60,'W2'!F$60,IF($D44='W2'!$A$61,'W2'!F$61,IF($D44='W2'!$A$62,'W2'!F$62,IF($D44='W2'!$A$63,'W2'!F$63,IF($D44='W2'!$A$64,'W2'!F$64,IF($D44='W2'!$A$65,'W2'!F$65,IF($D44='W2'!$A$66,'W2'!F$66,IF($D44='W2'!$A$67,'W2'!F$67,IF($D44='W2'!$A$68,'W2'!J284,IF($D44='W2'!$A$69,'W2'!J284,IF($D44='W2'!$A$70,'W2'!J284,IF($D44='W2'!$A$71,"")))))))))))))</f>
        <v/>
      </c>
      <c r="M44" s="367"/>
      <c r="N44" s="187">
        <f>IF(N17=0,0,IF(AND($D44="F-SMRA",N17=0),0,IF(AND($D44="F-SMRB",N17=0),0,IF(AND($D44="F-SMRC",N17=0),0,IF($D44='W2'!$A$68,'W2'!B310,IF($D44='W2'!$A$69,'W2'!B310,IF($D44='W2'!$A$70,'W2'!B310,ROUND(('Subcontract 2'!N17/'W2'!$C$5*'W2'!$C$9*(IF('Subcontract 2'!$D44='W2'!$A$47,'W2'!B$47,IF('Subcontract 2'!$D44='W2'!$A$48,'W2'!B$48,IF('Subcontract 2'!$D44='W2'!$A$49,'W2'!B$49,IF('Subcontract 2'!$D44='W2'!$A$50,'W2'!B$50,IF('Subcontract 2'!$D44='W2'!$A$51,'W2'!B$51,IF('Subcontract 2'!$D44='W2'!$A$52,'W2'!B$52,IF('Subcontract 2'!$D44='W2'!$A$53,'W2'!B$53,IF('Subcontract 2'!$D44='W2'!$A$54,'W2'!B$54,IF('Subcontract 2'!$D44='W2'!$A$55,'W2'!B$55))))))))))),0)+ROUND(N17/'W2'!$C$5*'W2'!$C$10*(IF('Subcontract 2'!$D44='W2'!$A$47,'W2'!C$47,IF('Subcontract 2'!$D44='W2'!$A$48,'W2'!C$48,IF('Subcontract 2'!$D44='W2'!$A$49,'W2'!C$49,IF('Subcontract 2'!$D44='W2'!$A$50,'W2'!C$50,IF('Subcontract 2'!$D44='W2'!$A$51,'W2'!C$51,IF('Subcontract 2'!$D44='W2'!$A$52,'W2'!C$52,IF('Subcontract 2'!$D44='W2'!$A$53,'W2'!C$53,IF('Subcontract 2'!$D44='W2'!$A$54,'W2'!C$54,IF('Subcontract 2'!$D44='W2'!$A$55,'W2'!C$55)))))))))),0))))))))</f>
        <v>0</v>
      </c>
      <c r="O44" s="187">
        <f>IF(O17=0,0,IF(AND($D44="F-SMRA",O17=0),0,IF(AND($D44="F-SMRB",O17=0),0,IF(AND($D44="F-SMRC",O17=0),0,IF($D44='W2'!$A$68,'W2'!D310,IF($D44='W2'!$A$69,'W2'!D310,IF($D44='W2'!$A$70,'W2'!D310,ROUND(('Subcontract 2'!O17/'W2'!$D$5*'W2'!$D$9*(IF('Subcontract 2'!$D44='W2'!$A$47,'W2'!D$47,IF('Subcontract 2'!$D44='W2'!$A$48,'W2'!D$48,IF('Subcontract 2'!$D44='W2'!$A$49,'W2'!D$49,IF('Subcontract 2'!$D44='W2'!$A$50,'W2'!D$50,IF('Subcontract 2'!$D44='W2'!$A$51,'W2'!D$51,IF('Subcontract 2'!$D44='W2'!$A$52,'W2'!D$52,IF('Subcontract 2'!$D44='W2'!$A$53,'W2'!D$53,IF('Subcontract 2'!$D44='W2'!$A$54,'W2'!D$54,IF('Subcontract 2'!$D44='W2'!$A$55,'W2'!D$55))))))))))),0)+ROUND(O17/'W2'!$D$5*'W2'!$D$10*(IF('Subcontract 2'!$D44='W2'!$A$47,'W2'!E$47,IF('Subcontract 2'!$D44='W2'!$A$48,'W2'!E$48,IF('Subcontract 2'!$D44='W2'!$A$49,'W2'!E$49,IF('Subcontract 2'!$D44='W2'!$A$50,'W2'!E$50,IF('Subcontract 2'!$D44='W2'!$A$51,'W2'!E$51,IF('Subcontract 2'!$D44='W2'!$A$52,'W2'!E$52,IF('Subcontract 2'!$D44='W2'!$A$53,'W2'!E$53,IF('Subcontract 2'!$D44='W2'!$A$54,'W2'!E$54,IF('Subcontract 2'!$D44='W2'!$A$55,'W2'!E$55)))))))))),0))))))))</f>
        <v>0</v>
      </c>
      <c r="P44" s="187">
        <f>IF(P17=0,0,IF(AND($D44="F-SMRA",P17=0),0,IF(AND($D44="F-SMRB",P17=0),0,IF(AND($D44="F-SMRC",P17=0),0,IF($D44='W2'!$A$68,'W2'!F310,IF($D44='W2'!$A$69,'W2'!F310,IF($D44='W2'!$A$70,'W2'!F310,ROUND(('Subcontract 2'!P17/'W2'!$E$5*'W2'!$E$9*(IF('Subcontract 2'!$D44='W2'!$A$47,'W2'!F$47,IF('Subcontract 2'!$D44='W2'!$A$48,'W2'!F$48,IF('Subcontract 2'!$D44='W2'!$A$49,'W2'!F$49,IF('Subcontract 2'!$D44='W2'!$A$50,'W2'!F$50,IF('Subcontract 2'!$D44='W2'!$A$51,'W2'!F$51,IF('Subcontract 2'!$D44='W2'!$A$52,'W2'!F$52,IF('Subcontract 2'!$D44='W2'!$A$53,'W2'!F$53,IF('Subcontract 2'!$D44='W2'!$A$54,'W2'!F$54,IF('Subcontract 2'!$D44='W2'!$A$55,'W2'!F$55))))))))))),0)+ROUND(P17/'W2'!$E$5*'W2'!$E$10*(IF('Subcontract 2'!$D44='W2'!$A$47,'W2'!G$47,IF('Subcontract 2'!$D44='W2'!$A$48,'W2'!G$48,IF('Subcontract 2'!$D44='W2'!$A$49,'W2'!G$49,IF('Subcontract 2'!$D44='W2'!$A$50,'W2'!G$50,IF('Subcontract 2'!$D44='W2'!$A$51,'W2'!G$51,IF('Subcontract 2'!$D44='W2'!$A$52,'W2'!G$52,IF('Subcontract 2'!$D44='W2'!$A$53,'W2'!G$53,IF('Subcontract 2'!$D44='W2'!$A$54,'W2'!G$54,IF('Subcontract 2'!$D44='W2'!$A$55,'W2'!G$55)))))))))),0))))))))</f>
        <v>0</v>
      </c>
      <c r="Q44" s="187">
        <f>IF(Q17=0,0,IF(AND($D44="F-SMRA",Q17=0),0,IF(AND($D44="F-SMRB",Q17=0),0,IF(AND($D44="F-SMRC",Q17=0),0,IF($D44='W2'!$A$68,'W2'!H310,IF($D44='W2'!$A$69,'W2'!H310,IF($D44='W2'!$A$70,'W2'!H310,ROUND(('Subcontract 2'!Q17/'W2'!$F$5*'W2'!$F$9*(IF('Subcontract 2'!$D44='W2'!$A$47,'W2'!H$47,IF('Subcontract 2'!$D44='W2'!$A$48,'W2'!H$48,IF('Subcontract 2'!$D44='W2'!$A$49,'W2'!H$49,IF('Subcontract 2'!$D44='W2'!$A$50,'W2'!H$50,IF('Subcontract 2'!$D44='W2'!$A$51,'W2'!H$51,IF('Subcontract 2'!$D44='W2'!$A$52,'W2'!H$52,IF('Subcontract 2'!$D44='W2'!$A$53,'W2'!H$53,IF('Subcontract 2'!$D44='W2'!$A$54,'W2'!H$54,IF('Subcontract 2'!$D44='W2'!$A$55,'W2'!H$55))))))))))),0)+ROUND(Q17/'W2'!$F$5*'W2'!$F$10*(IF('Subcontract 2'!$D44='W2'!$A$47,'W2'!I$47,IF('Subcontract 2'!$D44='W2'!$A$48,'W2'!I$48,IF('Subcontract 2'!$D44='W2'!$A$49,'W2'!I$49,IF('Subcontract 2'!$D44='W2'!$A$50,'W2'!I$50,IF('Subcontract 2'!$D44='W2'!$A$51,'W2'!I$51,IF('Subcontract 2'!$D44='W2'!$A$52,'W2'!I$52,IF('Subcontract 2'!$D44='W2'!$A$53,'W2'!I$53,IF('Subcontract 2'!$D44='W2'!$A$54,'W2'!I$54,IF('Subcontract 2'!$D44='W2'!$A$55,'W2'!I$55)))))))))),0))))))))</f>
        <v>0</v>
      </c>
      <c r="R44" s="187">
        <f>IF(R17=0,0,IF(AND($D44="F-SMRA",R17=0),0,IF(AND($D44="F-SMRB",R17=0),0,IF(AND($D44="F-SMRC",R17=0),0,IF($D44='W2'!$A$68,'W2'!J310,IF($D44='W2'!$A$69,'W2'!J310,IF($D44='W2'!$A$70,'W2'!J310,ROUND(('Subcontract 2'!R17/'W2'!$G$5*'W2'!$G$9*(IF('Subcontract 2'!$D44='W2'!$A$47,'W2'!J$47,IF('Subcontract 2'!$D44='W2'!$A$48,'W2'!J$48,IF('Subcontract 2'!$D44='W2'!$A$49,'W2'!J$49,IF('Subcontract 2'!$D44='W2'!$A$50,'W2'!J$50,IF('Subcontract 2'!$D44='W2'!$A$51,'W2'!J$51,IF('Subcontract 2'!$D44='W2'!$A$52,'W2'!J$52,IF('Subcontract 2'!$D44='W2'!$A$53,'W2'!J$53,IF('Subcontract 2'!$D44='W2'!$A$54,'W2'!J$54,IF('Subcontract 2'!$D44='W2'!$A$55,'W2'!J$55))))))))))),0)+ROUND(R17/'W2'!$G$5*'W2'!$G$10*(IF('Subcontract 2'!$D44='W2'!$A$47,'W2'!K$47,IF('Subcontract 2'!$D44='W2'!$A$48,'W2'!K$48,IF('Subcontract 2'!$D44='W2'!$A$49,'W2'!K$49,IF('Subcontract 2'!$D44='W2'!$A$50,'W2'!K$50,IF('Subcontract 2'!$D44='W2'!$A$51,'W2'!K$51,IF('Subcontract 2'!$D44='W2'!$A$52,'W2'!K$52,IF('Subcontract 2'!$D44='W2'!$A$53,'W2'!K$53,IF('Subcontract 2'!$D44='W2'!$A$54,'W2'!K$54,IF('Subcontract 2'!$D44='W2'!$A$55,'W2'!K$55)))))))))),0))))))))</f>
        <v>0</v>
      </c>
      <c r="S44" s="187">
        <f t="shared" si="6"/>
        <v>0</v>
      </c>
      <c r="T44" s="248"/>
      <c r="U44" s="248"/>
      <c r="V44" s="248"/>
      <c r="W44" s="248"/>
      <c r="X44" s="248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hidden="1" x14ac:dyDescent="0.2">
      <c r="A45" s="92">
        <v>11</v>
      </c>
      <c r="B45" s="381">
        <f t="shared" si="4"/>
        <v>0</v>
      </c>
      <c r="C45" s="382"/>
      <c r="D45" s="199" t="s">
        <v>52</v>
      </c>
      <c r="E45" s="277" t="str">
        <f>IF($D45='W2'!$A$59,'W2'!B$59,IF($D45='W2'!$A$60,'W2'!B$60,IF($D45='W2'!$A$61,'W2'!B$61,IF($D45='W2'!$A$62,'W2'!B$62,IF($D45='W2'!$A$63,'W2'!B$63,IF($D45='W2'!$A$64,'W2'!B$64,IF($D45='W2'!$A$65,'W2'!B$65,IF($D45='W2'!$A$66,'W2'!B$66,IF($D45='W2'!$A$67,'W2'!B$67,IF($D45='W2'!$A$68,'W2'!B285,IF($D45='W2'!$A$69,'W2'!B285,IF($D45='W2'!$A$70,'W2'!B285,IF($D45='W2'!$A$71,"")))))))))))))</f>
        <v/>
      </c>
      <c r="F45" s="378" t="str">
        <f>IF($D45='W2'!$A$59,'W2'!C$59,IF($D45='W2'!$A$60,'W2'!C$60,IF($D45='W2'!$A$61,'W2'!C$61,IF($D45='W2'!$A$62,'W2'!C$62,IF($D45='W2'!$A$63,'W2'!C$63,IF($D45='W2'!$A$64,'W2'!C$64,IF($D45='W2'!$A$65,'W2'!C$65,IF($D45='W2'!$A$66,'W2'!C$66,IF($D45='W2'!$A$67,'W2'!C$67,IF($D45='W2'!$A$68,'W2'!D285,IF($D45='W2'!$A$69,'W2'!D285,IF($D45='W2'!$A$70,'W2'!D285,IF($D45='W2'!$A$71,"")))))))))))))</f>
        <v/>
      </c>
      <c r="G45" s="379"/>
      <c r="H45" s="366" t="str">
        <f>IF($D45='W2'!$A$59,'W2'!D$59,IF($D45='W2'!$A$60,'W2'!D$60,IF($D45='W2'!$A$61,'W2'!D$61,IF($D45='W2'!$A$62,'W2'!D$62,IF($D45='W2'!$A$63,'W2'!D$63,IF($D45='W2'!$A$64,'W2'!D$64,IF($D45='W2'!$A$65,'W2'!D$65,IF($D45='W2'!$A$66,'W2'!D$66,IF($D45='W2'!$A$67,'W2'!D$67,IF($D45='W2'!$A$68,'W2'!F285,IF($D45='W2'!$A$69,'W2'!F285,IF($D45='W2'!$A$70,'W2'!F285,IF($D45='W2'!$A$71,"")))))))))))))</f>
        <v/>
      </c>
      <c r="I45" s="367"/>
      <c r="J45" s="366" t="str">
        <f>IF($D45='W2'!$A$59,'W2'!E$59,IF($D45='W2'!$A$60,'W2'!E$60,IF($D45='W2'!$A$61,'W2'!E$61,IF($D45='W2'!$A$62,'W2'!E$62,IF($D45='W2'!$A$63,'W2'!E$63,IF($D45='W2'!$A$64,'W2'!E$64,IF($D45='W2'!$A$65,'W2'!E$65,IF($D45='W2'!$A$66,'W2'!E$66,IF($D45='W2'!$A$67,'W2'!E$67,IF($D45='W2'!$A$68,'W2'!H285,IF($D45='W2'!$A$69,'W2'!H285,IF($D45='W2'!$A$70,'W2'!H285,IF($D45='W2'!$A$71,"")))))))))))))</f>
        <v/>
      </c>
      <c r="K45" s="367"/>
      <c r="L45" s="366" t="str">
        <f>IF($D45='W2'!$A$59,'W2'!F$59,IF($D45='W2'!$A$60,'W2'!F$60,IF($D45='W2'!$A$61,'W2'!F$61,IF($D45='W2'!$A$62,'W2'!F$62,IF($D45='W2'!$A$63,'W2'!F$63,IF($D45='W2'!$A$64,'W2'!F$64,IF($D45='W2'!$A$65,'W2'!F$65,IF($D45='W2'!$A$66,'W2'!F$66,IF($D45='W2'!$A$67,'W2'!F$67,IF($D45='W2'!$A$68,'W2'!J285,IF($D45='W2'!$A$69,'W2'!J285,IF($D45='W2'!$A$70,'W2'!J285,IF($D45='W2'!$A$71,"")))))))))))))</f>
        <v/>
      </c>
      <c r="M45" s="367"/>
      <c r="N45" s="200">
        <f>IF(N18=0,0,IF(AND($D45="F-SMRA",N18=0),0,IF(AND($D45="F-SMRB",N18=0),0,IF(AND($D45="F-SMRC",N18=0),0,IF($D45='W2'!$A$68,'W2'!B311,IF($D45='W2'!$A$69,'W2'!B311,IF($D45='W2'!$A$70,'W2'!B311,ROUND(('Subcontract 2'!N18/'W2'!$C$5*'W2'!$C$9*(IF('Subcontract 2'!$D45='W2'!$A$47,'W2'!B$47,IF('Subcontract 2'!$D45='W2'!$A$48,'W2'!B$48,IF('Subcontract 2'!$D45='W2'!$A$49,'W2'!B$49,IF('Subcontract 2'!$D45='W2'!$A$50,'W2'!B$50,IF('Subcontract 2'!$D45='W2'!$A$51,'W2'!B$51,IF('Subcontract 2'!$D45='W2'!$A$52,'W2'!B$52,IF('Subcontract 2'!$D45='W2'!$A$53,'W2'!B$53,IF('Subcontract 2'!$D45='W2'!$A$54,'W2'!B$54,IF('Subcontract 2'!$D45='W2'!$A$55,'W2'!B$55))))))))))),0)+ROUND(N18/'W2'!$C$5*'W2'!$C$10*(IF('Subcontract 2'!$D45='W2'!$A$47,'W2'!C$47,IF('Subcontract 2'!$D45='W2'!$A$48,'W2'!C$48,IF('Subcontract 2'!$D45='W2'!$A$49,'W2'!C$49,IF('Subcontract 2'!$D45='W2'!$A$50,'W2'!C$50,IF('Subcontract 2'!$D45='W2'!$A$51,'W2'!C$51,IF('Subcontract 2'!$D45='W2'!$A$52,'W2'!C$52,IF('Subcontract 2'!$D45='W2'!$A$53,'W2'!C$53,IF('Subcontract 2'!$D45='W2'!$A$54,'W2'!C$54,IF('Subcontract 2'!$D45='W2'!$A$55,'W2'!C$55)))))))))),0))))))))</f>
        <v>0</v>
      </c>
      <c r="O45" s="187">
        <f>IF(O18=0,0,IF(AND($D45="F-SMRA",O18=0),0,IF(AND($D45="F-SMRB",O18=0),0,IF(AND($D45="F-SMRC",O18=0),0,IF($D45='W2'!$A$68,'W2'!D311,IF($D45='W2'!$A$69,'W2'!D311,IF($D45='W2'!$A$70,'W2'!D311,ROUND(('Subcontract 2'!O18/'W2'!$D$5*'W2'!$D$9*(IF('Subcontract 2'!$D45='W2'!$A$47,'W2'!D$47,IF('Subcontract 2'!$D45='W2'!$A$48,'W2'!D$48,IF('Subcontract 2'!$D45='W2'!$A$49,'W2'!D$49,IF('Subcontract 2'!$D45='W2'!$A$50,'W2'!D$50,IF('Subcontract 2'!$D45='W2'!$A$51,'W2'!D$51,IF('Subcontract 2'!$D45='W2'!$A$52,'W2'!D$52,IF('Subcontract 2'!$D45='W2'!$A$53,'W2'!D$53,IF('Subcontract 2'!$D45='W2'!$A$54,'W2'!D$54,IF('Subcontract 2'!$D45='W2'!$A$55,'W2'!D$55))))))))))),0)+ROUND(O18/'W2'!$D$5*'W2'!$D$10*(IF('Subcontract 2'!$D45='W2'!$A$47,'W2'!E$47,IF('Subcontract 2'!$D45='W2'!$A$48,'W2'!E$48,IF('Subcontract 2'!$D45='W2'!$A$49,'W2'!E$49,IF('Subcontract 2'!$D45='W2'!$A$50,'W2'!E$50,IF('Subcontract 2'!$D45='W2'!$A$51,'W2'!E$51,IF('Subcontract 2'!$D45='W2'!$A$52,'W2'!E$52,IF('Subcontract 2'!$D45='W2'!$A$53,'W2'!E$53,IF('Subcontract 2'!$D45='W2'!$A$54,'W2'!E$54,IF('Subcontract 2'!$D45='W2'!$A$55,'W2'!E$55)))))))))),0))))))))</f>
        <v>0</v>
      </c>
      <c r="P45" s="187">
        <f>IF(P18=0,0,IF(AND($D45="F-SMRA",P18=0),0,IF(AND($D45="F-SMRB",P18=0),0,IF(AND($D45="F-SMRC",P18=0),0,IF($D45='W2'!$A$68,'W2'!F311,IF($D45='W2'!$A$69,'W2'!F311,IF($D45='W2'!$A$70,'W2'!F311,ROUND(('Subcontract 2'!P18/'W2'!$E$5*'W2'!$E$9*(IF('Subcontract 2'!$D45='W2'!$A$47,'W2'!F$47,IF('Subcontract 2'!$D45='W2'!$A$48,'W2'!F$48,IF('Subcontract 2'!$D45='W2'!$A$49,'W2'!F$49,IF('Subcontract 2'!$D45='W2'!$A$50,'W2'!F$50,IF('Subcontract 2'!$D45='W2'!$A$51,'W2'!F$51,IF('Subcontract 2'!$D45='W2'!$A$52,'W2'!F$52,IF('Subcontract 2'!$D45='W2'!$A$53,'W2'!F$53,IF('Subcontract 2'!$D45='W2'!$A$54,'W2'!F$54,IF('Subcontract 2'!$D45='W2'!$A$55,'W2'!F$55))))))))))),0)+ROUND(P18/'W2'!$E$5*'W2'!$E$10*(IF('Subcontract 2'!$D45='W2'!$A$47,'W2'!G$47,IF('Subcontract 2'!$D45='W2'!$A$48,'W2'!G$48,IF('Subcontract 2'!$D45='W2'!$A$49,'W2'!G$49,IF('Subcontract 2'!$D45='W2'!$A$50,'W2'!G$50,IF('Subcontract 2'!$D45='W2'!$A$51,'W2'!G$51,IF('Subcontract 2'!$D45='W2'!$A$52,'W2'!G$52,IF('Subcontract 2'!$D45='W2'!$A$53,'W2'!G$53,IF('Subcontract 2'!$D45='W2'!$A$54,'W2'!G$54,IF('Subcontract 2'!$D45='W2'!$A$55,'W2'!G$55)))))))))),0))))))))</f>
        <v>0</v>
      </c>
      <c r="Q45" s="187">
        <f>IF(Q18=0,0,IF(AND($D45="F-SMRA",Q18=0),0,IF(AND($D45="F-SMRB",Q18=0),0,IF(AND($D45="F-SMRC",Q18=0),0,IF($D45='W2'!$A$68,'W2'!H311,IF($D45='W2'!$A$69,'W2'!H311,IF($D45='W2'!$A$70,'W2'!H311,ROUND(('Subcontract 2'!Q18/'W2'!$F$5*'W2'!$F$9*(IF('Subcontract 2'!$D45='W2'!$A$47,'W2'!H$47,IF('Subcontract 2'!$D45='W2'!$A$48,'W2'!H$48,IF('Subcontract 2'!$D45='W2'!$A$49,'W2'!H$49,IF('Subcontract 2'!$D45='W2'!$A$50,'W2'!H$50,IF('Subcontract 2'!$D45='W2'!$A$51,'W2'!H$51,IF('Subcontract 2'!$D45='W2'!$A$52,'W2'!H$52,IF('Subcontract 2'!$D45='W2'!$A$53,'W2'!H$53,IF('Subcontract 2'!$D45='W2'!$A$54,'W2'!H$54,IF('Subcontract 2'!$D45='W2'!$A$55,'W2'!H$55))))))))))),0)+ROUND(Q18/'W2'!$F$5*'W2'!$F$10*(IF('Subcontract 2'!$D45='W2'!$A$47,'W2'!I$47,IF('Subcontract 2'!$D45='W2'!$A$48,'W2'!I$48,IF('Subcontract 2'!$D45='W2'!$A$49,'W2'!I$49,IF('Subcontract 2'!$D45='W2'!$A$50,'W2'!I$50,IF('Subcontract 2'!$D45='W2'!$A$51,'W2'!I$51,IF('Subcontract 2'!$D45='W2'!$A$52,'W2'!I$52,IF('Subcontract 2'!$D45='W2'!$A$53,'W2'!I$53,IF('Subcontract 2'!$D45='W2'!$A$54,'W2'!I$54,IF('Subcontract 2'!$D45='W2'!$A$55,'W2'!I$55)))))))))),0))))))))</f>
        <v>0</v>
      </c>
      <c r="R45" s="187">
        <f>IF(R18=0,0,IF(AND($D45="F-SMRA",R18=0),0,IF(AND($D45="F-SMRB",R18=0),0,IF(AND($D45="F-SMRC",R18=0),0,IF($D45='W2'!$A$68,'W2'!J311,IF($D45='W2'!$A$69,'W2'!J311,IF($D45='W2'!$A$70,'W2'!J311,ROUND(('Subcontract 2'!R18/'W2'!$G$5*'W2'!$G$9*(IF('Subcontract 2'!$D45='W2'!$A$47,'W2'!J$47,IF('Subcontract 2'!$D45='W2'!$A$48,'W2'!J$48,IF('Subcontract 2'!$D45='W2'!$A$49,'W2'!J$49,IF('Subcontract 2'!$D45='W2'!$A$50,'W2'!J$50,IF('Subcontract 2'!$D45='W2'!$A$51,'W2'!J$51,IF('Subcontract 2'!$D45='W2'!$A$52,'W2'!J$52,IF('Subcontract 2'!$D45='W2'!$A$53,'W2'!J$53,IF('Subcontract 2'!$D45='W2'!$A$54,'W2'!J$54,IF('Subcontract 2'!$D45='W2'!$A$55,'W2'!J$55))))))))))),0)+ROUND(R18/'W2'!$G$5*'W2'!$G$10*(IF('Subcontract 2'!$D45='W2'!$A$47,'W2'!K$47,IF('Subcontract 2'!$D45='W2'!$A$48,'W2'!K$48,IF('Subcontract 2'!$D45='W2'!$A$49,'W2'!K$49,IF('Subcontract 2'!$D45='W2'!$A$50,'W2'!K$50,IF('Subcontract 2'!$D45='W2'!$A$51,'W2'!K$51,IF('Subcontract 2'!$D45='W2'!$A$52,'W2'!K$52,IF('Subcontract 2'!$D45='W2'!$A$53,'W2'!K$53,IF('Subcontract 2'!$D45='W2'!$A$54,'W2'!K$54,IF('Subcontract 2'!$D45='W2'!$A$55,'W2'!K$55)))))))))),0))))))))</f>
        <v>0</v>
      </c>
      <c r="S45" s="187">
        <f t="shared" si="6"/>
        <v>0</v>
      </c>
      <c r="T45" s="248"/>
      <c r="U45" s="248"/>
      <c r="V45" s="248"/>
      <c r="W45" s="248"/>
      <c r="X45" s="248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hidden="1" x14ac:dyDescent="0.2">
      <c r="A46" s="92">
        <v>12</v>
      </c>
      <c r="B46" s="381">
        <f t="shared" si="4"/>
        <v>0</v>
      </c>
      <c r="C46" s="382"/>
      <c r="D46" s="199" t="s">
        <v>52</v>
      </c>
      <c r="E46" s="277" t="str">
        <f>IF($D46='W2'!$A$59,'W2'!B$59,IF($D46='W2'!$A$60,'W2'!B$60,IF($D46='W2'!$A$61,'W2'!B$61,IF($D46='W2'!$A$62,'W2'!B$62,IF($D46='W2'!$A$63,'W2'!B$63,IF($D46='W2'!$A$64,'W2'!B$64,IF($D46='W2'!$A$65,'W2'!B$65,IF($D46='W2'!$A$66,'W2'!B$66,IF($D46='W2'!$A$67,'W2'!B$67,IF($D46='W2'!$A$68,'W2'!B286,IF($D46='W2'!$A$69,'W2'!B286,IF($D46='W2'!$A$70,'W2'!B286,IF($D46='W2'!$A$71,"")))))))))))))</f>
        <v/>
      </c>
      <c r="F46" s="378" t="str">
        <f>IF($D46='W2'!$A$59,'W2'!C$59,IF($D46='W2'!$A$60,'W2'!C$60,IF($D46='W2'!$A$61,'W2'!C$61,IF($D46='W2'!$A$62,'W2'!C$62,IF($D46='W2'!$A$63,'W2'!C$63,IF($D46='W2'!$A$64,'W2'!C$64,IF($D46='W2'!$A$65,'W2'!C$65,IF($D46='W2'!$A$66,'W2'!C$66,IF($D46='W2'!$A$67,'W2'!C$67,IF($D46='W2'!$A$68,'W2'!D286,IF($D46='W2'!$A$69,'W2'!D286,IF($D46='W2'!$A$70,'W2'!D286,IF($D46='W2'!$A$71,"")))))))))))))</f>
        <v/>
      </c>
      <c r="G46" s="379"/>
      <c r="H46" s="366" t="str">
        <f>IF($D46='W2'!$A$59,'W2'!D$59,IF($D46='W2'!$A$60,'W2'!D$60,IF($D46='W2'!$A$61,'W2'!D$61,IF($D46='W2'!$A$62,'W2'!D$62,IF($D46='W2'!$A$63,'W2'!D$63,IF($D46='W2'!$A$64,'W2'!D$64,IF($D46='W2'!$A$65,'W2'!D$65,IF($D46='W2'!$A$66,'W2'!D$66,IF($D46='W2'!$A$67,'W2'!D$67,IF($D46='W2'!$A$68,'W2'!F286,IF($D46='W2'!$A$69,'W2'!F286,IF($D46='W2'!$A$70,'W2'!F286,IF($D46='W2'!$A$71,"")))))))))))))</f>
        <v/>
      </c>
      <c r="I46" s="367"/>
      <c r="J46" s="366" t="str">
        <f>IF($D46='W2'!$A$59,'W2'!E$59,IF($D46='W2'!$A$60,'W2'!E$60,IF($D46='W2'!$A$61,'W2'!E$61,IF($D46='W2'!$A$62,'W2'!E$62,IF($D46='W2'!$A$63,'W2'!E$63,IF($D46='W2'!$A$64,'W2'!E$64,IF($D46='W2'!$A$65,'W2'!E$65,IF($D46='W2'!$A$66,'W2'!E$66,IF($D46='W2'!$A$67,'W2'!E$67,IF($D46='W2'!$A$68,'W2'!H286,IF($D46='W2'!$A$69,'W2'!H286,IF($D46='W2'!$A$70,'W2'!H286,IF($D46='W2'!$A$71,"")))))))))))))</f>
        <v/>
      </c>
      <c r="K46" s="367"/>
      <c r="L46" s="366" t="str">
        <f>IF($D46='W2'!$A$59,'W2'!F$59,IF($D46='W2'!$A$60,'W2'!F$60,IF($D46='W2'!$A$61,'W2'!F$61,IF($D46='W2'!$A$62,'W2'!F$62,IF($D46='W2'!$A$63,'W2'!F$63,IF($D46='W2'!$A$64,'W2'!F$64,IF($D46='W2'!$A$65,'W2'!F$65,IF($D46='W2'!$A$66,'W2'!F$66,IF($D46='W2'!$A$67,'W2'!F$67,IF($D46='W2'!$A$68,'W2'!J286,IF($D46='W2'!$A$69,'W2'!J286,IF($D46='W2'!$A$70,'W2'!J286,IF($D46='W2'!$A$71,"")))))))))))))</f>
        <v/>
      </c>
      <c r="M46" s="367"/>
      <c r="N46" s="187">
        <f>IF(N19=0,0,IF(AND($D46="F-SMRA",N19=0),0,IF(AND($D46="F-SMRB",N19=0),0,IF(AND($D46="F-SMRC",N19=0),0,IF($D46='W2'!$A$68,'W2'!B312,IF($D46='W2'!$A$69,'W2'!B312,IF($D46='W2'!$A$70,'W2'!B312,ROUND(('Subcontract 2'!N19/'W2'!$C$5*'W2'!$C$9*(IF('Subcontract 2'!$D46='W2'!$A$47,'W2'!B$47,IF('Subcontract 2'!$D46='W2'!$A$48,'W2'!B$48,IF('Subcontract 2'!$D46='W2'!$A$49,'W2'!B$49,IF('Subcontract 2'!$D46='W2'!$A$50,'W2'!B$50,IF('Subcontract 2'!$D46='W2'!$A$51,'W2'!B$51,IF('Subcontract 2'!$D46='W2'!$A$52,'W2'!B$52,IF('Subcontract 2'!$D46='W2'!$A$53,'W2'!B$53,IF('Subcontract 2'!$D46='W2'!$A$54,'W2'!B$54,IF('Subcontract 2'!$D46='W2'!$A$55,'W2'!B$55))))))))))),0)+ROUND(N19/'W2'!$C$5*'W2'!$C$10*(IF('Subcontract 2'!$D46='W2'!$A$47,'W2'!C$47,IF('Subcontract 2'!$D46='W2'!$A$48,'W2'!C$48,IF('Subcontract 2'!$D46='W2'!$A$49,'W2'!C$49,IF('Subcontract 2'!$D46='W2'!$A$50,'W2'!C$50,IF('Subcontract 2'!$D46='W2'!$A$51,'W2'!C$51,IF('Subcontract 2'!$D46='W2'!$A$52,'W2'!C$52,IF('Subcontract 2'!$D46='W2'!$A$53,'W2'!C$53,IF('Subcontract 2'!$D46='W2'!$A$54,'W2'!C$54,IF('Subcontract 2'!$D46='W2'!$A$55,'W2'!C$55)))))))))),0))))))))</f>
        <v>0</v>
      </c>
      <c r="O46" s="187">
        <f>IF(O19=0,0,IF(AND($D46="F-SMRA",O19=0),0,IF(AND($D46="F-SMRB",O19=0),0,IF(AND($D46="F-SMRC",O19=0),0,IF($D46='W2'!$A$68,'W2'!D312,IF($D46='W2'!$A$69,'W2'!D312,IF($D46='W2'!$A$70,'W2'!D312,ROUND(('Subcontract 2'!O19/'W2'!$D$5*'W2'!$D$9*(IF('Subcontract 2'!$D46='W2'!$A$47,'W2'!D$47,IF('Subcontract 2'!$D46='W2'!$A$48,'W2'!D$48,IF('Subcontract 2'!$D46='W2'!$A$49,'W2'!D$49,IF('Subcontract 2'!$D46='W2'!$A$50,'W2'!D$50,IF('Subcontract 2'!$D46='W2'!$A$51,'W2'!D$51,IF('Subcontract 2'!$D46='W2'!$A$52,'W2'!D$52,IF('Subcontract 2'!$D46='W2'!$A$53,'W2'!D$53,IF('Subcontract 2'!$D46='W2'!$A$54,'W2'!D$54,IF('Subcontract 2'!$D46='W2'!$A$55,'W2'!D$55))))))))))),0)+ROUND(O19/'W2'!$D$5*'W2'!$D$10*(IF('Subcontract 2'!$D46='W2'!$A$47,'W2'!E$47,IF('Subcontract 2'!$D46='W2'!$A$48,'W2'!E$48,IF('Subcontract 2'!$D46='W2'!$A$49,'W2'!E$49,IF('Subcontract 2'!$D46='W2'!$A$50,'W2'!E$50,IF('Subcontract 2'!$D46='W2'!$A$51,'W2'!E$51,IF('Subcontract 2'!$D46='W2'!$A$52,'W2'!E$52,IF('Subcontract 2'!$D46='W2'!$A$53,'W2'!E$53,IF('Subcontract 2'!$D46='W2'!$A$54,'W2'!E$54,IF('Subcontract 2'!$D46='W2'!$A$55,'W2'!E$55)))))))))),0))))))))</f>
        <v>0</v>
      </c>
      <c r="P46" s="187">
        <f>IF(P19=0,0,IF(AND($D46="F-SMRA",P19=0),0,IF(AND($D46="F-SMRB",P19=0),0,IF(AND($D46="F-SMRC",P19=0),0,IF($D46='W2'!$A$68,'W2'!F312,IF($D46='W2'!$A$69,'W2'!F312,IF($D46='W2'!$A$70,'W2'!F312,ROUND(('Subcontract 2'!P19/'W2'!$E$5*'W2'!$E$9*(IF('Subcontract 2'!$D46='W2'!$A$47,'W2'!F$47,IF('Subcontract 2'!$D46='W2'!$A$48,'W2'!F$48,IF('Subcontract 2'!$D46='W2'!$A$49,'W2'!F$49,IF('Subcontract 2'!$D46='W2'!$A$50,'W2'!F$50,IF('Subcontract 2'!$D46='W2'!$A$51,'W2'!F$51,IF('Subcontract 2'!$D46='W2'!$A$52,'W2'!F$52,IF('Subcontract 2'!$D46='W2'!$A$53,'W2'!F$53,IF('Subcontract 2'!$D46='W2'!$A$54,'W2'!F$54,IF('Subcontract 2'!$D46='W2'!$A$55,'W2'!F$55))))))))))),0)+ROUND(P19/'W2'!$E$5*'W2'!$E$10*(IF('Subcontract 2'!$D46='W2'!$A$47,'W2'!G$47,IF('Subcontract 2'!$D46='W2'!$A$48,'W2'!G$48,IF('Subcontract 2'!$D46='W2'!$A$49,'W2'!G$49,IF('Subcontract 2'!$D46='W2'!$A$50,'W2'!G$50,IF('Subcontract 2'!$D46='W2'!$A$51,'W2'!G$51,IF('Subcontract 2'!$D46='W2'!$A$52,'W2'!G$52,IF('Subcontract 2'!$D46='W2'!$A$53,'W2'!G$53,IF('Subcontract 2'!$D46='W2'!$A$54,'W2'!G$54,IF('Subcontract 2'!$D46='W2'!$A$55,'W2'!G$55)))))))))),0))))))))</f>
        <v>0</v>
      </c>
      <c r="Q46" s="187">
        <f>IF(Q19=0,0,IF(AND($D46="F-SMRA",Q19=0),0,IF(AND($D46="F-SMRB",Q19=0),0,IF(AND($D46="F-SMRC",Q19=0),0,IF($D46='W2'!$A$68,'W2'!H312,IF($D46='W2'!$A$69,'W2'!H312,IF($D46='W2'!$A$70,'W2'!H312,ROUND(('Subcontract 2'!Q19/'W2'!$F$5*'W2'!$F$9*(IF('Subcontract 2'!$D46='W2'!$A$47,'W2'!H$47,IF('Subcontract 2'!$D46='W2'!$A$48,'W2'!H$48,IF('Subcontract 2'!$D46='W2'!$A$49,'W2'!H$49,IF('Subcontract 2'!$D46='W2'!$A$50,'W2'!H$50,IF('Subcontract 2'!$D46='W2'!$A$51,'W2'!H$51,IF('Subcontract 2'!$D46='W2'!$A$52,'W2'!H$52,IF('Subcontract 2'!$D46='W2'!$A$53,'W2'!H$53,IF('Subcontract 2'!$D46='W2'!$A$54,'W2'!H$54,IF('Subcontract 2'!$D46='W2'!$A$55,'W2'!H$55))))))))))),0)+ROUND(Q19/'W2'!$F$5*'W2'!$F$10*(IF('Subcontract 2'!$D46='W2'!$A$47,'W2'!I$47,IF('Subcontract 2'!$D46='W2'!$A$48,'W2'!I$48,IF('Subcontract 2'!$D46='W2'!$A$49,'W2'!I$49,IF('Subcontract 2'!$D46='W2'!$A$50,'W2'!I$50,IF('Subcontract 2'!$D46='W2'!$A$51,'W2'!I$51,IF('Subcontract 2'!$D46='W2'!$A$52,'W2'!I$52,IF('Subcontract 2'!$D46='W2'!$A$53,'W2'!I$53,IF('Subcontract 2'!$D46='W2'!$A$54,'W2'!I$54,IF('Subcontract 2'!$D46='W2'!$A$55,'W2'!I$55)))))))))),0))))))))</f>
        <v>0</v>
      </c>
      <c r="R46" s="187">
        <f>IF(R19=0,0,IF(AND($D46="F-SMRA",R19=0),0,IF(AND($D46="F-SMRB",R19=0),0,IF(AND($D46="F-SMRC",R19=0),0,IF($D46='W2'!$A$68,'W2'!J312,IF($D46='W2'!$A$69,'W2'!J312,IF($D46='W2'!$A$70,'W2'!J312,ROUND(('Subcontract 2'!R19/'W2'!$G$5*'W2'!$G$9*(IF('Subcontract 2'!$D46='W2'!$A$47,'W2'!J$47,IF('Subcontract 2'!$D46='W2'!$A$48,'W2'!J$48,IF('Subcontract 2'!$D46='W2'!$A$49,'W2'!J$49,IF('Subcontract 2'!$D46='W2'!$A$50,'W2'!J$50,IF('Subcontract 2'!$D46='W2'!$A$51,'W2'!J$51,IF('Subcontract 2'!$D46='W2'!$A$52,'W2'!J$52,IF('Subcontract 2'!$D46='W2'!$A$53,'W2'!J$53,IF('Subcontract 2'!$D46='W2'!$A$54,'W2'!J$54,IF('Subcontract 2'!$D46='W2'!$A$55,'W2'!J$55))))))))))),0)+ROUND(R19/'W2'!$G$5*'W2'!$G$10*(IF('Subcontract 2'!$D46='W2'!$A$47,'W2'!K$47,IF('Subcontract 2'!$D46='W2'!$A$48,'W2'!K$48,IF('Subcontract 2'!$D46='W2'!$A$49,'W2'!K$49,IF('Subcontract 2'!$D46='W2'!$A$50,'W2'!K$50,IF('Subcontract 2'!$D46='W2'!$A$51,'W2'!K$51,IF('Subcontract 2'!$D46='W2'!$A$52,'W2'!K$52,IF('Subcontract 2'!$D46='W2'!$A$53,'W2'!K$53,IF('Subcontract 2'!$D46='W2'!$A$54,'W2'!K$54,IF('Subcontract 2'!$D46='W2'!$A$55,'W2'!K$55)))))))))),0))))))))</f>
        <v>0</v>
      </c>
      <c r="S46" s="187">
        <f t="shared" si="6"/>
        <v>0</v>
      </c>
      <c r="T46" s="248"/>
      <c r="U46" s="248"/>
      <c r="V46" s="248"/>
      <c r="W46" s="248"/>
      <c r="X46" s="248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hidden="1" x14ac:dyDescent="0.2">
      <c r="A47" s="92">
        <v>13</v>
      </c>
      <c r="B47" s="381">
        <f t="shared" si="4"/>
        <v>0</v>
      </c>
      <c r="C47" s="382"/>
      <c r="D47" s="199" t="s">
        <v>52</v>
      </c>
      <c r="E47" s="277" t="str">
        <f>IF($D47='W2'!$A$59,'W2'!B$59,IF($D47='W2'!$A$60,'W2'!B$60,IF($D47='W2'!$A$61,'W2'!B$61,IF($D47='W2'!$A$62,'W2'!B$62,IF($D47='W2'!$A$63,'W2'!B$63,IF($D47='W2'!$A$64,'W2'!B$64,IF($D47='W2'!$A$65,'W2'!B$65,IF($D47='W2'!$A$66,'W2'!B$66,IF($D47='W2'!$A$67,'W2'!B$67,IF($D47='W2'!$A$68,'W2'!B287,IF($D47='W2'!$A$69,'W2'!B287,IF($D47='W2'!$A$70,'W2'!B287,IF($D47='W2'!$A$71,"")))))))))))))</f>
        <v/>
      </c>
      <c r="F47" s="378" t="str">
        <f>IF($D47='W2'!$A$59,'W2'!C$59,IF($D47='W2'!$A$60,'W2'!C$60,IF($D47='W2'!$A$61,'W2'!C$61,IF($D47='W2'!$A$62,'W2'!C$62,IF($D47='W2'!$A$63,'W2'!C$63,IF($D47='W2'!$A$64,'W2'!C$64,IF($D47='W2'!$A$65,'W2'!C$65,IF($D47='W2'!$A$66,'W2'!C$66,IF($D47='W2'!$A$67,'W2'!C$67,IF($D47='W2'!$A$68,'W2'!D287,IF($D47='W2'!$A$69,'W2'!D287,IF($D47='W2'!$A$70,'W2'!D287,IF($D47='W2'!$A$71,"")))))))))))))</f>
        <v/>
      </c>
      <c r="G47" s="379"/>
      <c r="H47" s="366" t="str">
        <f>IF($D47='W2'!$A$59,'W2'!D$59,IF($D47='W2'!$A$60,'W2'!D$60,IF($D47='W2'!$A$61,'W2'!D$61,IF($D47='W2'!$A$62,'W2'!D$62,IF($D47='W2'!$A$63,'W2'!D$63,IF($D47='W2'!$A$64,'W2'!D$64,IF($D47='W2'!$A$65,'W2'!D$65,IF($D47='W2'!$A$66,'W2'!D$66,IF($D47='W2'!$A$67,'W2'!D$67,IF($D47='W2'!$A$68,'W2'!F287,IF($D47='W2'!$A$69,'W2'!F287,IF($D47='W2'!$A$70,'W2'!F287,IF($D47='W2'!$A$71,"")))))))))))))</f>
        <v/>
      </c>
      <c r="I47" s="367"/>
      <c r="J47" s="366" t="str">
        <f>IF($D47='W2'!$A$59,'W2'!E$59,IF($D47='W2'!$A$60,'W2'!E$60,IF($D47='W2'!$A$61,'W2'!E$61,IF($D47='W2'!$A$62,'W2'!E$62,IF($D47='W2'!$A$63,'W2'!E$63,IF($D47='W2'!$A$64,'W2'!E$64,IF($D47='W2'!$A$65,'W2'!E$65,IF($D47='W2'!$A$66,'W2'!E$66,IF($D47='W2'!$A$67,'W2'!E$67,IF($D47='W2'!$A$68,'W2'!H287,IF($D47='W2'!$A$69,'W2'!H287,IF($D47='W2'!$A$70,'W2'!H287,IF($D47='W2'!$A$71,"")))))))))))))</f>
        <v/>
      </c>
      <c r="K47" s="367"/>
      <c r="L47" s="366" t="str">
        <f>IF($D47='W2'!$A$59,'W2'!F$59,IF($D47='W2'!$A$60,'W2'!F$60,IF($D47='W2'!$A$61,'W2'!F$61,IF($D47='W2'!$A$62,'W2'!F$62,IF($D47='W2'!$A$63,'W2'!F$63,IF($D47='W2'!$A$64,'W2'!F$64,IF($D47='W2'!$A$65,'W2'!F$65,IF($D47='W2'!$A$66,'W2'!F$66,IF($D47='W2'!$A$67,'W2'!F$67,IF($D47='W2'!$A$68,'W2'!J287,IF($D47='W2'!$A$69,'W2'!J287,IF($D47='W2'!$A$70,'W2'!J287,IF($D47='W2'!$A$71,"")))))))))))))</f>
        <v/>
      </c>
      <c r="M47" s="367"/>
      <c r="N47" s="187">
        <f>IF(N20=0,0,IF(AND($D47="F-SMRA",N20=0),0,IF(AND($D47="F-SMRB",N20=0),0,IF(AND($D47="F-SMRC",N20=0),0,IF($D47='W2'!$A$68,'W2'!B313,IF($D47='W2'!$A$69,'W2'!B313,IF($D47='W2'!$A$70,'W2'!B313,ROUND(('Subcontract 2'!N20/'W2'!$C$5*'W2'!$C$9*(IF('Subcontract 2'!$D47='W2'!$A$47,'W2'!B$47,IF('Subcontract 2'!$D47='W2'!$A$48,'W2'!B$48,IF('Subcontract 2'!$D47='W2'!$A$49,'W2'!B$49,IF('Subcontract 2'!$D47='W2'!$A$50,'W2'!B$50,IF('Subcontract 2'!$D47='W2'!$A$51,'W2'!B$51,IF('Subcontract 2'!$D47='W2'!$A$52,'W2'!B$52,IF('Subcontract 2'!$D47='W2'!$A$53,'W2'!B$53,IF('Subcontract 2'!$D47='W2'!$A$54,'W2'!B$54,IF('Subcontract 2'!$D47='W2'!$A$55,'W2'!B$55))))))))))),0)+ROUND(N20/'W2'!$C$5*'W2'!$C$10*(IF('Subcontract 2'!$D47='W2'!$A$47,'W2'!C$47,IF('Subcontract 2'!$D47='W2'!$A$48,'W2'!C$48,IF('Subcontract 2'!$D47='W2'!$A$49,'W2'!C$49,IF('Subcontract 2'!$D47='W2'!$A$50,'W2'!C$50,IF('Subcontract 2'!$D47='W2'!$A$51,'W2'!C$51,IF('Subcontract 2'!$D47='W2'!$A$52,'W2'!C$52,IF('Subcontract 2'!$D47='W2'!$A$53,'W2'!C$53,IF('Subcontract 2'!$D47='W2'!$A$54,'W2'!C$54,IF('Subcontract 2'!$D47='W2'!$A$55,'W2'!C$55)))))))))),0))))))))</f>
        <v>0</v>
      </c>
      <c r="O47" s="187">
        <f>IF(O20=0,0,IF(AND($D47="F-SMRA",O20=0),0,IF(AND($D47="F-SMRB",O20=0),0,IF(AND($D47="F-SMRC",O20=0),0,IF($D47='W2'!$A$68,'W2'!D313,IF($D47='W2'!$A$69,'W2'!D313,IF($D47='W2'!$A$70,'W2'!D313,ROUND(('Subcontract 2'!O20/'W2'!$D$5*'W2'!$D$9*(IF('Subcontract 2'!$D47='W2'!$A$47,'W2'!D$47,IF('Subcontract 2'!$D47='W2'!$A$48,'W2'!D$48,IF('Subcontract 2'!$D47='W2'!$A$49,'W2'!D$49,IF('Subcontract 2'!$D47='W2'!$A$50,'W2'!D$50,IF('Subcontract 2'!$D47='W2'!$A$51,'W2'!D$51,IF('Subcontract 2'!$D47='W2'!$A$52,'W2'!D$52,IF('Subcontract 2'!$D47='W2'!$A$53,'W2'!D$53,IF('Subcontract 2'!$D47='W2'!$A$54,'W2'!D$54,IF('Subcontract 2'!$D47='W2'!$A$55,'W2'!D$55))))))))))),0)+ROUND(O20/'W2'!$D$5*'W2'!$D$10*(IF('Subcontract 2'!$D47='W2'!$A$47,'W2'!E$47,IF('Subcontract 2'!$D47='W2'!$A$48,'W2'!E$48,IF('Subcontract 2'!$D47='W2'!$A$49,'W2'!E$49,IF('Subcontract 2'!$D47='W2'!$A$50,'W2'!E$50,IF('Subcontract 2'!$D47='W2'!$A$51,'W2'!E$51,IF('Subcontract 2'!$D47='W2'!$A$52,'W2'!E$52,IF('Subcontract 2'!$D47='W2'!$A$53,'W2'!E$53,IF('Subcontract 2'!$D47='W2'!$A$54,'W2'!E$54,IF('Subcontract 2'!$D47='W2'!$A$55,'W2'!E$55)))))))))),0))))))))</f>
        <v>0</v>
      </c>
      <c r="P47" s="187">
        <f>IF(P20=0,0,IF(AND($D47="F-SMRA",P20=0),0,IF(AND($D47="F-SMRB",P20=0),0,IF(AND($D47="F-SMRC",P20=0),0,IF($D47='W2'!$A$68,'W2'!F313,IF($D47='W2'!$A$69,'W2'!F313,IF($D47='W2'!$A$70,'W2'!F313,ROUND(('Subcontract 2'!P20/'W2'!$E$5*'W2'!$E$9*(IF('Subcontract 2'!$D47='W2'!$A$47,'W2'!F$47,IF('Subcontract 2'!$D47='W2'!$A$48,'W2'!F$48,IF('Subcontract 2'!$D47='W2'!$A$49,'W2'!F$49,IF('Subcontract 2'!$D47='W2'!$A$50,'W2'!F$50,IF('Subcontract 2'!$D47='W2'!$A$51,'W2'!F$51,IF('Subcontract 2'!$D47='W2'!$A$52,'W2'!F$52,IF('Subcontract 2'!$D47='W2'!$A$53,'W2'!F$53,IF('Subcontract 2'!$D47='W2'!$A$54,'W2'!F$54,IF('Subcontract 2'!$D47='W2'!$A$55,'W2'!F$55))))))))))),0)+ROUND(P20/'W2'!$E$5*'W2'!$E$10*(IF('Subcontract 2'!$D47='W2'!$A$47,'W2'!G$47,IF('Subcontract 2'!$D47='W2'!$A$48,'W2'!G$48,IF('Subcontract 2'!$D47='W2'!$A$49,'W2'!G$49,IF('Subcontract 2'!$D47='W2'!$A$50,'W2'!G$50,IF('Subcontract 2'!$D47='W2'!$A$51,'W2'!G$51,IF('Subcontract 2'!$D47='W2'!$A$52,'W2'!G$52,IF('Subcontract 2'!$D47='W2'!$A$53,'W2'!G$53,IF('Subcontract 2'!$D47='W2'!$A$54,'W2'!G$54,IF('Subcontract 2'!$D47='W2'!$A$55,'W2'!G$55)))))))))),0))))))))</f>
        <v>0</v>
      </c>
      <c r="Q47" s="187">
        <f>IF(Q20=0,0,IF(AND($D47="F-SMRA",Q20=0),0,IF(AND($D47="F-SMRB",Q20=0),0,IF(AND($D47="F-SMRC",Q20=0),0,IF($D47='W2'!$A$68,'W2'!H313,IF($D47='W2'!$A$69,'W2'!H313,IF($D47='W2'!$A$70,'W2'!H313,ROUND(('Subcontract 2'!Q20/'W2'!$F$5*'W2'!$F$9*(IF('Subcontract 2'!$D47='W2'!$A$47,'W2'!H$47,IF('Subcontract 2'!$D47='W2'!$A$48,'W2'!H$48,IF('Subcontract 2'!$D47='W2'!$A$49,'W2'!H$49,IF('Subcontract 2'!$D47='W2'!$A$50,'W2'!H$50,IF('Subcontract 2'!$D47='W2'!$A$51,'W2'!H$51,IF('Subcontract 2'!$D47='W2'!$A$52,'W2'!H$52,IF('Subcontract 2'!$D47='W2'!$A$53,'W2'!H$53,IF('Subcontract 2'!$D47='W2'!$A$54,'W2'!H$54,IF('Subcontract 2'!$D47='W2'!$A$55,'W2'!H$55))))))))))),0)+ROUND(Q20/'W2'!$F$5*'W2'!$F$10*(IF('Subcontract 2'!$D47='W2'!$A$47,'W2'!I$47,IF('Subcontract 2'!$D47='W2'!$A$48,'W2'!I$48,IF('Subcontract 2'!$D47='W2'!$A$49,'W2'!I$49,IF('Subcontract 2'!$D47='W2'!$A$50,'W2'!I$50,IF('Subcontract 2'!$D47='W2'!$A$51,'W2'!I$51,IF('Subcontract 2'!$D47='W2'!$A$52,'W2'!I$52,IF('Subcontract 2'!$D47='W2'!$A$53,'W2'!I$53,IF('Subcontract 2'!$D47='W2'!$A$54,'W2'!I$54,IF('Subcontract 2'!$D47='W2'!$A$55,'W2'!I$55)))))))))),0))))))))</f>
        <v>0</v>
      </c>
      <c r="R47" s="187">
        <f>IF(R20=0,0,IF(AND($D47="F-SMRA",R20=0),0,IF(AND($D47="F-SMRB",R20=0),0,IF(AND($D47="F-SMRC",R20=0),0,IF($D47='W2'!$A$68,'W2'!J313,IF($D47='W2'!$A$69,'W2'!J313,IF($D47='W2'!$A$70,'W2'!J313,ROUND(('Subcontract 2'!R20/'W2'!$G$5*'W2'!$G$9*(IF('Subcontract 2'!$D47='W2'!$A$47,'W2'!J$47,IF('Subcontract 2'!$D47='W2'!$A$48,'W2'!J$48,IF('Subcontract 2'!$D47='W2'!$A$49,'W2'!J$49,IF('Subcontract 2'!$D47='W2'!$A$50,'W2'!J$50,IF('Subcontract 2'!$D47='W2'!$A$51,'W2'!J$51,IF('Subcontract 2'!$D47='W2'!$A$52,'W2'!J$52,IF('Subcontract 2'!$D47='W2'!$A$53,'W2'!J$53,IF('Subcontract 2'!$D47='W2'!$A$54,'W2'!J$54,IF('Subcontract 2'!$D47='W2'!$A$55,'W2'!J$55))))))))))),0)+ROUND(R20/'W2'!$G$5*'W2'!$G$10*(IF('Subcontract 2'!$D47='W2'!$A$47,'W2'!K$47,IF('Subcontract 2'!$D47='W2'!$A$48,'W2'!K$48,IF('Subcontract 2'!$D47='W2'!$A$49,'W2'!K$49,IF('Subcontract 2'!$D47='W2'!$A$50,'W2'!K$50,IF('Subcontract 2'!$D47='W2'!$A$51,'W2'!K$51,IF('Subcontract 2'!$D47='W2'!$A$52,'W2'!K$52,IF('Subcontract 2'!$D47='W2'!$A$53,'W2'!K$53,IF('Subcontract 2'!$D47='W2'!$A$54,'W2'!K$54,IF('Subcontract 2'!$D47='W2'!$A$55,'W2'!K$55)))))))))),0))))))))</f>
        <v>0</v>
      </c>
      <c r="S47" s="187">
        <f t="shared" si="6"/>
        <v>0</v>
      </c>
      <c r="T47" s="248"/>
      <c r="U47" s="248"/>
      <c r="V47" s="248"/>
      <c r="W47" s="248"/>
      <c r="X47" s="248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idden="1" x14ac:dyDescent="0.2">
      <c r="A48" s="92">
        <v>14</v>
      </c>
      <c r="B48" s="381">
        <f t="shared" si="4"/>
        <v>0</v>
      </c>
      <c r="C48" s="382"/>
      <c r="D48" s="199" t="s">
        <v>52</v>
      </c>
      <c r="E48" s="277" t="str">
        <f>IF($D48='W2'!$A$59,'W2'!B$59,IF($D48='W2'!$A$60,'W2'!B$60,IF($D48='W2'!$A$61,'W2'!B$61,IF($D48='W2'!$A$62,'W2'!B$62,IF($D48='W2'!$A$63,'W2'!B$63,IF($D48='W2'!$A$64,'W2'!B$64,IF($D48='W2'!$A$65,'W2'!B$65,IF($D48='W2'!$A$66,'W2'!B$66,IF($D48='W2'!$A$67,'W2'!B$67,IF($D48='W2'!$A$68,'W2'!B288,IF($D48='W2'!$A$69,'W2'!B288,IF($D48='W2'!$A$70,'W2'!B288,IF($D48='W2'!$A$71,"")))))))))))))</f>
        <v/>
      </c>
      <c r="F48" s="378" t="str">
        <f>IF($D48='W2'!$A$59,'W2'!C$59,IF($D48='W2'!$A$60,'W2'!C$60,IF($D48='W2'!$A$61,'W2'!C$61,IF($D48='W2'!$A$62,'W2'!C$62,IF($D48='W2'!$A$63,'W2'!C$63,IF($D48='W2'!$A$64,'W2'!C$64,IF($D48='W2'!$A$65,'W2'!C$65,IF($D48='W2'!$A$66,'W2'!C$66,IF($D48='W2'!$A$67,'W2'!C$67,IF($D48='W2'!$A$68,'W2'!D288,IF($D48='W2'!$A$69,'W2'!D288,IF($D48='W2'!$A$70,'W2'!D288,IF($D48='W2'!$A$71,"")))))))))))))</f>
        <v/>
      </c>
      <c r="G48" s="379"/>
      <c r="H48" s="366" t="str">
        <f>IF($D48='W2'!$A$59,'W2'!D$59,IF($D48='W2'!$A$60,'W2'!D$60,IF($D48='W2'!$A$61,'W2'!D$61,IF($D48='W2'!$A$62,'W2'!D$62,IF($D48='W2'!$A$63,'W2'!D$63,IF($D48='W2'!$A$64,'W2'!D$64,IF($D48='W2'!$A$65,'W2'!D$65,IF($D48='W2'!$A$66,'W2'!D$66,IF($D48='W2'!$A$67,'W2'!D$67,IF($D48='W2'!$A$68,'W2'!F288,IF($D48='W2'!$A$69,'W2'!F288,IF($D48='W2'!$A$70,'W2'!F288,IF($D48='W2'!$A$71,"")))))))))))))</f>
        <v/>
      </c>
      <c r="I48" s="367"/>
      <c r="J48" s="366" t="str">
        <f>IF($D48='W2'!$A$59,'W2'!E$59,IF($D48='W2'!$A$60,'W2'!E$60,IF($D48='W2'!$A$61,'W2'!E$61,IF($D48='W2'!$A$62,'W2'!E$62,IF($D48='W2'!$A$63,'W2'!E$63,IF($D48='W2'!$A$64,'W2'!E$64,IF($D48='W2'!$A$65,'W2'!E$65,IF($D48='W2'!$A$66,'W2'!E$66,IF($D48='W2'!$A$67,'W2'!E$67,IF($D48='W2'!$A$68,'W2'!H288,IF($D48='W2'!$A$69,'W2'!H288,IF($D48='W2'!$A$70,'W2'!H288,IF($D48='W2'!$A$71,"")))))))))))))</f>
        <v/>
      </c>
      <c r="K48" s="367"/>
      <c r="L48" s="366" t="str">
        <f>IF($D48='W2'!$A$59,'W2'!F$59,IF($D48='W2'!$A$60,'W2'!F$60,IF($D48='W2'!$A$61,'W2'!F$61,IF($D48='W2'!$A$62,'W2'!F$62,IF($D48='W2'!$A$63,'W2'!F$63,IF($D48='W2'!$A$64,'W2'!F$64,IF($D48='W2'!$A$65,'W2'!F$65,IF($D48='W2'!$A$66,'W2'!F$66,IF($D48='W2'!$A$67,'W2'!F$67,IF($D48='W2'!$A$68,'W2'!J288,IF($D48='W2'!$A$69,'W2'!J288,IF($D48='W2'!$A$70,'W2'!J288,IF($D48='W2'!$A$71,"")))))))))))))</f>
        <v/>
      </c>
      <c r="M48" s="367"/>
      <c r="N48" s="187">
        <f>IF(N21=0,0,IF(AND($D48="F-SMRA",N21=0),0,IF(AND($D48="F-SMRB",N21=0),0,IF(AND($D48="F-SMRC",N21=0),0,IF($D48='W2'!$A$68,'W2'!B314,IF($D48='W2'!$A$69,'W2'!B314,IF($D48='W2'!$A$70,'W2'!B314,ROUND(('Subcontract 2'!N21/'W2'!$C$5*'W2'!$C$9*(IF('Subcontract 2'!$D48='W2'!$A$47,'W2'!B$47,IF('Subcontract 2'!$D48='W2'!$A$48,'W2'!B$48,IF('Subcontract 2'!$D48='W2'!$A$49,'W2'!B$49,IF('Subcontract 2'!$D48='W2'!$A$50,'W2'!B$50,IF('Subcontract 2'!$D48='W2'!$A$51,'W2'!B$51,IF('Subcontract 2'!$D48='W2'!$A$52,'W2'!B$52,IF('Subcontract 2'!$D48='W2'!$A$53,'W2'!B$53,IF('Subcontract 2'!$D48='W2'!$A$54,'W2'!B$54,IF('Subcontract 2'!$D48='W2'!$A$55,'W2'!B$55))))))))))),0)+ROUND(N21/'W2'!$C$5*'W2'!$C$10*(IF('Subcontract 2'!$D48='W2'!$A$47,'W2'!C$47,IF('Subcontract 2'!$D48='W2'!$A$48,'W2'!C$48,IF('Subcontract 2'!$D48='W2'!$A$49,'W2'!C$49,IF('Subcontract 2'!$D48='W2'!$A$50,'W2'!C$50,IF('Subcontract 2'!$D48='W2'!$A$51,'W2'!C$51,IF('Subcontract 2'!$D48='W2'!$A$52,'W2'!C$52,IF('Subcontract 2'!$D48='W2'!$A$53,'W2'!C$53,IF('Subcontract 2'!$D48='W2'!$A$54,'W2'!C$54,IF('Subcontract 2'!$D48='W2'!$A$55,'W2'!C$55)))))))))),0))))))))</f>
        <v>0</v>
      </c>
      <c r="O48" s="187">
        <f>IF(O21=0,0,IF(AND($D48="F-SMRA",O21=0),0,IF(AND($D48="F-SMRB",O21=0),0,IF(AND($D48="F-SMRC",O21=0),0,IF($D48='W2'!$A$68,'W2'!D314,IF($D48='W2'!$A$69,'W2'!D314,IF($D48='W2'!$A$70,'W2'!D314,ROUND(('Subcontract 2'!O21/'W2'!$D$5*'W2'!$D$9*(IF('Subcontract 2'!$D48='W2'!$A$47,'W2'!D$47,IF('Subcontract 2'!$D48='W2'!$A$48,'W2'!D$48,IF('Subcontract 2'!$D48='W2'!$A$49,'W2'!D$49,IF('Subcontract 2'!$D48='W2'!$A$50,'W2'!D$50,IF('Subcontract 2'!$D48='W2'!$A$51,'W2'!D$51,IF('Subcontract 2'!$D48='W2'!$A$52,'W2'!D$52,IF('Subcontract 2'!$D48='W2'!$A$53,'W2'!D$53,IF('Subcontract 2'!$D48='W2'!$A$54,'W2'!D$54,IF('Subcontract 2'!$D48='W2'!$A$55,'W2'!D$55))))))))))),0)+ROUND(O21/'W2'!$D$5*'W2'!$D$10*(IF('Subcontract 2'!$D48='W2'!$A$47,'W2'!E$47,IF('Subcontract 2'!$D48='W2'!$A$48,'W2'!E$48,IF('Subcontract 2'!$D48='W2'!$A$49,'W2'!E$49,IF('Subcontract 2'!$D48='W2'!$A$50,'W2'!E$50,IF('Subcontract 2'!$D48='W2'!$A$51,'W2'!E$51,IF('Subcontract 2'!$D48='W2'!$A$52,'W2'!E$52,IF('Subcontract 2'!$D48='W2'!$A$53,'W2'!E$53,IF('Subcontract 2'!$D48='W2'!$A$54,'W2'!E$54,IF('Subcontract 2'!$D48='W2'!$A$55,'W2'!E$55)))))))))),0))))))))</f>
        <v>0</v>
      </c>
      <c r="P48" s="187">
        <f>IF(P21=0,0,IF(AND($D48="F-SMRA",P21=0),0,IF(AND($D48="F-SMRB",P21=0),0,IF(AND($D48="F-SMRC",P21=0),0,IF($D48='W2'!$A$68,'W2'!F314,IF($D48='W2'!$A$69,'W2'!F314,IF($D48='W2'!$A$70,'W2'!F314,ROUND(('Subcontract 2'!P21/'W2'!$E$5*'W2'!$E$9*(IF('Subcontract 2'!$D48='W2'!$A$47,'W2'!F$47,IF('Subcontract 2'!$D48='W2'!$A$48,'W2'!F$48,IF('Subcontract 2'!$D48='W2'!$A$49,'W2'!F$49,IF('Subcontract 2'!$D48='W2'!$A$50,'W2'!F$50,IF('Subcontract 2'!$D48='W2'!$A$51,'W2'!F$51,IF('Subcontract 2'!$D48='W2'!$A$52,'W2'!F$52,IF('Subcontract 2'!$D48='W2'!$A$53,'W2'!F$53,IF('Subcontract 2'!$D48='W2'!$A$54,'W2'!F$54,IF('Subcontract 2'!$D48='W2'!$A$55,'W2'!F$55))))))))))),0)+ROUND(P21/'W2'!$E$5*'W2'!$E$10*(IF('Subcontract 2'!$D48='W2'!$A$47,'W2'!G$47,IF('Subcontract 2'!$D48='W2'!$A$48,'W2'!G$48,IF('Subcontract 2'!$D48='W2'!$A$49,'W2'!G$49,IF('Subcontract 2'!$D48='W2'!$A$50,'W2'!G$50,IF('Subcontract 2'!$D48='W2'!$A$51,'W2'!G$51,IF('Subcontract 2'!$D48='W2'!$A$52,'W2'!G$52,IF('Subcontract 2'!$D48='W2'!$A$53,'W2'!G$53,IF('Subcontract 2'!$D48='W2'!$A$54,'W2'!G$54,IF('Subcontract 2'!$D48='W2'!$A$55,'W2'!G$55)))))))))),0))))))))</f>
        <v>0</v>
      </c>
      <c r="Q48" s="187">
        <f>IF(Q21=0,0,IF(AND($D48="F-SMRA",Q21=0),0,IF(AND($D48="F-SMRB",Q21=0),0,IF(AND($D48="F-SMRC",Q21=0),0,IF($D48='W2'!$A$68,'W2'!H314,IF($D48='W2'!$A$69,'W2'!H314,IF($D48='W2'!$A$70,'W2'!H314,ROUND(('Subcontract 2'!Q21/'W2'!$F$5*'W2'!$F$9*(IF('Subcontract 2'!$D48='W2'!$A$47,'W2'!H$47,IF('Subcontract 2'!$D48='W2'!$A$48,'W2'!H$48,IF('Subcontract 2'!$D48='W2'!$A$49,'W2'!H$49,IF('Subcontract 2'!$D48='W2'!$A$50,'W2'!H$50,IF('Subcontract 2'!$D48='W2'!$A$51,'W2'!H$51,IF('Subcontract 2'!$D48='W2'!$A$52,'W2'!H$52,IF('Subcontract 2'!$D48='W2'!$A$53,'W2'!H$53,IF('Subcontract 2'!$D48='W2'!$A$54,'W2'!H$54,IF('Subcontract 2'!$D48='W2'!$A$55,'W2'!H$55))))))))))),0)+ROUND(Q21/'W2'!$F$5*'W2'!$F$10*(IF('Subcontract 2'!$D48='W2'!$A$47,'W2'!I$47,IF('Subcontract 2'!$D48='W2'!$A$48,'W2'!I$48,IF('Subcontract 2'!$D48='W2'!$A$49,'W2'!I$49,IF('Subcontract 2'!$D48='W2'!$A$50,'W2'!I$50,IF('Subcontract 2'!$D48='W2'!$A$51,'W2'!I$51,IF('Subcontract 2'!$D48='W2'!$A$52,'W2'!I$52,IF('Subcontract 2'!$D48='W2'!$A$53,'W2'!I$53,IF('Subcontract 2'!$D48='W2'!$A$54,'W2'!I$54,IF('Subcontract 2'!$D48='W2'!$A$55,'W2'!I$55)))))))))),0))))))))</f>
        <v>0</v>
      </c>
      <c r="R48" s="187">
        <f>IF(R21=0,0,IF(AND($D48="F-SMRA",R21=0),0,IF(AND($D48="F-SMRB",R21=0),0,IF(AND($D48="F-SMRC",R21=0),0,IF($D48='W2'!$A$68,'W2'!J314,IF($D48='W2'!$A$69,'W2'!J314,IF($D48='W2'!$A$70,'W2'!J314,ROUND(('Subcontract 2'!R21/'W2'!$G$5*'W2'!$G$9*(IF('Subcontract 2'!$D48='W2'!$A$47,'W2'!J$47,IF('Subcontract 2'!$D48='W2'!$A$48,'W2'!J$48,IF('Subcontract 2'!$D48='W2'!$A$49,'W2'!J$49,IF('Subcontract 2'!$D48='W2'!$A$50,'W2'!J$50,IF('Subcontract 2'!$D48='W2'!$A$51,'W2'!J$51,IF('Subcontract 2'!$D48='W2'!$A$52,'W2'!J$52,IF('Subcontract 2'!$D48='W2'!$A$53,'W2'!J$53,IF('Subcontract 2'!$D48='W2'!$A$54,'W2'!J$54,IF('Subcontract 2'!$D48='W2'!$A$55,'W2'!J$55))))))))))),0)+ROUND(R21/'W2'!$G$5*'W2'!$G$10*(IF('Subcontract 2'!$D48='W2'!$A$47,'W2'!K$47,IF('Subcontract 2'!$D48='W2'!$A$48,'W2'!K$48,IF('Subcontract 2'!$D48='W2'!$A$49,'W2'!K$49,IF('Subcontract 2'!$D48='W2'!$A$50,'W2'!K$50,IF('Subcontract 2'!$D48='W2'!$A$51,'W2'!K$51,IF('Subcontract 2'!$D48='W2'!$A$52,'W2'!K$52,IF('Subcontract 2'!$D48='W2'!$A$53,'W2'!K$53,IF('Subcontract 2'!$D48='W2'!$A$54,'W2'!K$54,IF('Subcontract 2'!$D48='W2'!$A$55,'W2'!K$55)))))))))),0))))))))</f>
        <v>0</v>
      </c>
      <c r="S48" s="187">
        <f t="shared" si="6"/>
        <v>0</v>
      </c>
      <c r="T48" s="248"/>
      <c r="U48" s="248"/>
      <c r="V48" s="248"/>
      <c r="W48" s="248"/>
      <c r="X48" s="248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idden="1" x14ac:dyDescent="0.2">
      <c r="A49" s="92">
        <v>15</v>
      </c>
      <c r="B49" s="381">
        <f t="shared" si="4"/>
        <v>0</v>
      </c>
      <c r="C49" s="382"/>
      <c r="D49" s="199" t="s">
        <v>52</v>
      </c>
      <c r="E49" s="277" t="str">
        <f>IF($D49='W2'!$A$59,'W2'!B$59,IF($D49='W2'!$A$60,'W2'!B$60,IF($D49='W2'!$A$61,'W2'!B$61,IF($D49='W2'!$A$62,'W2'!B$62,IF($D49='W2'!$A$63,'W2'!B$63,IF($D49='W2'!$A$64,'W2'!B$64,IF($D49='W2'!$A$65,'W2'!B$65,IF($D49='W2'!$A$66,'W2'!B$66,IF($D49='W2'!$A$67,'W2'!B$67,IF($D49='W2'!$A$68,'W2'!B289,IF($D49='W2'!$A$69,'W2'!B289,IF($D49='W2'!$A$70,'W2'!B289,IF($D49='W2'!$A$71,"")))))))))))))</f>
        <v/>
      </c>
      <c r="F49" s="378" t="str">
        <f>IF($D49='W2'!$A$59,'W2'!C$59,IF($D49='W2'!$A$60,'W2'!C$60,IF($D49='W2'!$A$61,'W2'!C$61,IF($D49='W2'!$A$62,'W2'!C$62,IF($D49='W2'!$A$63,'W2'!C$63,IF($D49='W2'!$A$64,'W2'!C$64,IF($D49='W2'!$A$65,'W2'!C$65,IF($D49='W2'!$A$66,'W2'!C$66,IF($D49='W2'!$A$67,'W2'!C$67,IF($D49='W2'!$A$68,'W2'!D289,IF($D49='W2'!$A$69,'W2'!D289,IF($D49='W2'!$A$70,'W2'!D289,IF($D49='W2'!$A$71,"")))))))))))))</f>
        <v/>
      </c>
      <c r="G49" s="379"/>
      <c r="H49" s="366" t="str">
        <f>IF($D49='W2'!$A$59,'W2'!D$59,IF($D49='W2'!$A$60,'W2'!D$60,IF($D49='W2'!$A$61,'W2'!D$61,IF($D49='W2'!$A$62,'W2'!D$62,IF($D49='W2'!$A$63,'W2'!D$63,IF($D49='W2'!$A$64,'W2'!D$64,IF($D49='W2'!$A$65,'W2'!D$65,IF($D49='W2'!$A$66,'W2'!D$66,IF($D49='W2'!$A$67,'W2'!D$67,IF($D49='W2'!$A$68,'W2'!F289,IF($D49='W2'!$A$69,'W2'!F289,IF($D49='W2'!$A$70,'W2'!F289,IF($D49='W2'!$A$71,"")))))))))))))</f>
        <v/>
      </c>
      <c r="I49" s="367"/>
      <c r="J49" s="366" t="str">
        <f>IF($D49='W2'!$A$59,'W2'!E$59,IF($D49='W2'!$A$60,'W2'!E$60,IF($D49='W2'!$A$61,'W2'!E$61,IF($D49='W2'!$A$62,'W2'!E$62,IF($D49='W2'!$A$63,'W2'!E$63,IF($D49='W2'!$A$64,'W2'!E$64,IF($D49='W2'!$A$65,'W2'!E$65,IF($D49='W2'!$A$66,'W2'!E$66,IF($D49='W2'!$A$67,'W2'!E$67,IF($D49='W2'!$A$68,'W2'!H289,IF($D49='W2'!$A$69,'W2'!H289,IF($D49='W2'!$A$70,'W2'!H289,IF($D49='W2'!$A$71,"")))))))))))))</f>
        <v/>
      </c>
      <c r="K49" s="367"/>
      <c r="L49" s="366" t="str">
        <f>IF($D49='W2'!$A$59,'W2'!F$59,IF($D49='W2'!$A$60,'W2'!F$60,IF($D49='W2'!$A$61,'W2'!F$61,IF($D49='W2'!$A$62,'W2'!F$62,IF($D49='W2'!$A$63,'W2'!F$63,IF($D49='W2'!$A$64,'W2'!F$64,IF($D49='W2'!$A$65,'W2'!F$65,IF($D49='W2'!$A$66,'W2'!F$66,IF($D49='W2'!$A$67,'W2'!F$67,IF($D49='W2'!$A$68,'W2'!J289,IF($D49='W2'!$A$69,'W2'!J289,IF($D49='W2'!$A$70,'W2'!J289,IF($D49='W2'!$A$71,"")))))))))))))</f>
        <v/>
      </c>
      <c r="M49" s="367"/>
      <c r="N49" s="187">
        <f>IF(N22=0,0,IF(AND($D49="F-SMRA",N22=0),0,IF(AND($D49="F-SMRB",N22=0),0,IF(AND($D49="F-SMRC",N22=0),0,IF($D49='W2'!$A$68,'W2'!B315,IF($D49='W2'!$A$69,'W2'!B315,IF($D49='W2'!$A$70,'W2'!B315,ROUND(('Subcontract 2'!N22/'W2'!$C$5*'W2'!$C$9*(IF('Subcontract 2'!$D49='W2'!$A$47,'W2'!B$47,IF('Subcontract 2'!$D49='W2'!$A$48,'W2'!B$48,IF('Subcontract 2'!$D49='W2'!$A$49,'W2'!B$49,IF('Subcontract 2'!$D49='W2'!$A$50,'W2'!B$50,IF('Subcontract 2'!$D49='W2'!$A$51,'W2'!B$51,IF('Subcontract 2'!$D49='W2'!$A$52,'W2'!B$52,IF('Subcontract 2'!$D49='W2'!$A$53,'W2'!B$53,IF('Subcontract 2'!$D49='W2'!$A$54,'W2'!B$54,IF('Subcontract 2'!$D49='W2'!$A$55,'W2'!B$55))))))))))),0)+ROUND(N22/'W2'!$C$5*'W2'!$C$10*(IF('Subcontract 2'!$D49='W2'!$A$47,'W2'!C$47,IF('Subcontract 2'!$D49='W2'!$A$48,'W2'!C$48,IF('Subcontract 2'!$D49='W2'!$A$49,'W2'!C$49,IF('Subcontract 2'!$D49='W2'!$A$50,'W2'!C$50,IF('Subcontract 2'!$D49='W2'!$A$51,'W2'!C$51,IF('Subcontract 2'!$D49='W2'!$A$52,'W2'!C$52,IF('Subcontract 2'!$D49='W2'!$A$53,'W2'!C$53,IF('Subcontract 2'!$D49='W2'!$A$54,'W2'!C$54,IF('Subcontract 2'!$D49='W2'!$A$55,'W2'!C$55)))))))))),0))))))))</f>
        <v>0</v>
      </c>
      <c r="O49" s="187">
        <f>IF(O22=0,0,IF(AND($D49="F-SMRA",O22=0),0,IF(AND($D49="F-SMRB",O22=0),0,IF(AND($D49="F-SMRC",O22=0),0,IF($D49='W2'!$A$68,'W2'!D315,IF($D49='W2'!$A$69,'W2'!D315,IF($D49='W2'!$A$70,'W2'!D315,ROUND(('Subcontract 2'!O22/'W2'!$D$5*'W2'!$D$9*(IF('Subcontract 2'!$D49='W2'!$A$47,'W2'!D$47,IF('Subcontract 2'!$D49='W2'!$A$48,'W2'!D$48,IF('Subcontract 2'!$D49='W2'!$A$49,'W2'!D$49,IF('Subcontract 2'!$D49='W2'!$A$50,'W2'!D$50,IF('Subcontract 2'!$D49='W2'!$A$51,'W2'!D$51,IF('Subcontract 2'!$D49='W2'!$A$52,'W2'!D$52,IF('Subcontract 2'!$D49='W2'!$A$53,'W2'!D$53,IF('Subcontract 2'!$D49='W2'!$A$54,'W2'!D$54,IF('Subcontract 2'!$D49='W2'!$A$55,'W2'!D$55))))))))))),0)+ROUND(O22/'W2'!$D$5*'W2'!$D$10*(IF('Subcontract 2'!$D49='W2'!$A$47,'W2'!E$47,IF('Subcontract 2'!$D49='W2'!$A$48,'W2'!E$48,IF('Subcontract 2'!$D49='W2'!$A$49,'W2'!E$49,IF('Subcontract 2'!$D49='W2'!$A$50,'W2'!E$50,IF('Subcontract 2'!$D49='W2'!$A$51,'W2'!E$51,IF('Subcontract 2'!$D49='W2'!$A$52,'W2'!E$52,IF('Subcontract 2'!$D49='W2'!$A$53,'W2'!E$53,IF('Subcontract 2'!$D49='W2'!$A$54,'W2'!E$54,IF('Subcontract 2'!$D49='W2'!$A$55,'W2'!E$55)))))))))),0))))))))</f>
        <v>0</v>
      </c>
      <c r="P49" s="187">
        <f>IF(P22=0,0,IF(AND($D49="F-SMRA",P22=0),0,IF(AND($D49="F-SMRB",P22=0),0,IF(AND($D49="F-SMRC",P22=0),0,IF($D49='W2'!$A$68,'W2'!F315,IF($D49='W2'!$A$69,'W2'!F315,IF($D49='W2'!$A$70,'W2'!F315,ROUND(('Subcontract 2'!P22/'W2'!$E$5*'W2'!$E$9*(IF('Subcontract 2'!$D49='W2'!$A$47,'W2'!F$47,IF('Subcontract 2'!$D49='W2'!$A$48,'W2'!F$48,IF('Subcontract 2'!$D49='W2'!$A$49,'W2'!F$49,IF('Subcontract 2'!$D49='W2'!$A$50,'W2'!F$50,IF('Subcontract 2'!$D49='W2'!$A$51,'W2'!F$51,IF('Subcontract 2'!$D49='W2'!$A$52,'W2'!F$52,IF('Subcontract 2'!$D49='W2'!$A$53,'W2'!F$53,IF('Subcontract 2'!$D49='W2'!$A$54,'W2'!F$54,IF('Subcontract 2'!$D49='W2'!$A$55,'W2'!F$55))))))))))),0)+ROUND(P22/'W2'!$E$5*'W2'!$E$10*(IF('Subcontract 2'!$D49='W2'!$A$47,'W2'!G$47,IF('Subcontract 2'!$D49='W2'!$A$48,'W2'!G$48,IF('Subcontract 2'!$D49='W2'!$A$49,'W2'!G$49,IF('Subcontract 2'!$D49='W2'!$A$50,'W2'!G$50,IF('Subcontract 2'!$D49='W2'!$A$51,'W2'!G$51,IF('Subcontract 2'!$D49='W2'!$A$52,'W2'!G$52,IF('Subcontract 2'!$D49='W2'!$A$53,'W2'!G$53,IF('Subcontract 2'!$D49='W2'!$A$54,'W2'!G$54,IF('Subcontract 2'!$D49='W2'!$A$55,'W2'!G$55)))))))))),0))))))))</f>
        <v>0</v>
      </c>
      <c r="Q49" s="187">
        <f>IF(Q22=0,0,IF(AND($D49="F-SMRA",Q22=0),0,IF(AND($D49="F-SMRB",Q22=0),0,IF(AND($D49="F-SMRC",Q22=0),0,IF($D49='W2'!$A$68,'W2'!H315,IF($D49='W2'!$A$69,'W2'!H315,IF($D49='W2'!$A$70,'W2'!H315,ROUND(('Subcontract 2'!Q22/'W2'!$F$5*'W2'!$F$9*(IF('Subcontract 2'!$D49='W2'!$A$47,'W2'!H$47,IF('Subcontract 2'!$D49='W2'!$A$48,'W2'!H$48,IF('Subcontract 2'!$D49='W2'!$A$49,'W2'!H$49,IF('Subcontract 2'!$D49='W2'!$A$50,'W2'!H$50,IF('Subcontract 2'!$D49='W2'!$A$51,'W2'!H$51,IF('Subcontract 2'!$D49='W2'!$A$52,'W2'!H$52,IF('Subcontract 2'!$D49='W2'!$A$53,'W2'!H$53,IF('Subcontract 2'!$D49='W2'!$A$54,'W2'!H$54,IF('Subcontract 2'!$D49='W2'!$A$55,'W2'!H$55))))))))))),0)+ROUND(Q22/'W2'!$F$5*'W2'!$F$10*(IF('Subcontract 2'!$D49='W2'!$A$47,'W2'!I$47,IF('Subcontract 2'!$D49='W2'!$A$48,'W2'!I$48,IF('Subcontract 2'!$D49='W2'!$A$49,'W2'!I$49,IF('Subcontract 2'!$D49='W2'!$A$50,'W2'!I$50,IF('Subcontract 2'!$D49='W2'!$A$51,'W2'!I$51,IF('Subcontract 2'!$D49='W2'!$A$52,'W2'!I$52,IF('Subcontract 2'!$D49='W2'!$A$53,'W2'!I$53,IF('Subcontract 2'!$D49='W2'!$A$54,'W2'!I$54,IF('Subcontract 2'!$D49='W2'!$A$55,'W2'!I$55)))))))))),0))))))))</f>
        <v>0</v>
      </c>
      <c r="R49" s="187">
        <f>IF(R22=0,0,IF(AND($D49="F-SMRA",R22=0),0,IF(AND($D49="F-SMRB",R22=0),0,IF(AND($D49="F-SMRC",R22=0),0,IF($D49='W2'!$A$68,'W2'!J315,IF($D49='W2'!$A$69,'W2'!J315,IF($D49='W2'!$A$70,'W2'!J315,ROUND(('Subcontract 2'!R22/'W2'!$G$5*'W2'!$G$9*(IF('Subcontract 2'!$D49='W2'!$A$47,'W2'!J$47,IF('Subcontract 2'!$D49='W2'!$A$48,'W2'!J$48,IF('Subcontract 2'!$D49='W2'!$A$49,'W2'!J$49,IF('Subcontract 2'!$D49='W2'!$A$50,'W2'!J$50,IF('Subcontract 2'!$D49='W2'!$A$51,'W2'!J$51,IF('Subcontract 2'!$D49='W2'!$A$52,'W2'!J$52,IF('Subcontract 2'!$D49='W2'!$A$53,'W2'!J$53,IF('Subcontract 2'!$D49='W2'!$A$54,'W2'!J$54,IF('Subcontract 2'!$D49='W2'!$A$55,'W2'!J$55))))))))))),0)+ROUND(R22/'W2'!$G$5*'W2'!$G$10*(IF('Subcontract 2'!$D49='W2'!$A$47,'W2'!K$47,IF('Subcontract 2'!$D49='W2'!$A$48,'W2'!K$48,IF('Subcontract 2'!$D49='W2'!$A$49,'W2'!K$49,IF('Subcontract 2'!$D49='W2'!$A$50,'W2'!K$50,IF('Subcontract 2'!$D49='W2'!$A$51,'W2'!K$51,IF('Subcontract 2'!$D49='W2'!$A$52,'W2'!K$52,IF('Subcontract 2'!$D49='W2'!$A$53,'W2'!K$53,IF('Subcontract 2'!$D49='W2'!$A$54,'W2'!K$54,IF('Subcontract 2'!$D49='W2'!$A$55,'W2'!K$55)))))))))),0))))))))</f>
        <v>0</v>
      </c>
      <c r="S49" s="187">
        <f t="shared" si="6"/>
        <v>0</v>
      </c>
      <c r="T49" s="248"/>
      <c r="U49" s="248"/>
      <c r="V49" s="248"/>
      <c r="W49" s="248"/>
      <c r="X49" s="248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idden="1" x14ac:dyDescent="0.2">
      <c r="A50" s="92">
        <v>16</v>
      </c>
      <c r="B50" s="381">
        <f t="shared" si="4"/>
        <v>0</v>
      </c>
      <c r="C50" s="382"/>
      <c r="D50" s="199" t="s">
        <v>52</v>
      </c>
      <c r="E50" s="277" t="str">
        <f>IF($D50='W2'!$A$59,'W2'!B$59,IF($D50='W2'!$A$60,'W2'!B$60,IF($D50='W2'!$A$61,'W2'!B$61,IF($D50='W2'!$A$62,'W2'!B$62,IF($D50='W2'!$A$63,'W2'!B$63,IF($D50='W2'!$A$64,'W2'!B$64,IF($D50='W2'!$A$65,'W2'!B$65,IF($D50='W2'!$A$66,'W2'!B$66,IF($D50='W2'!$A$67,'W2'!B$67,IF($D50='W2'!$A$68,'W2'!B290,IF($D50='W2'!$A$69,'W2'!B290,IF($D50='W2'!$A$70,'W2'!B290,IF($D50='W2'!$A$71,"")))))))))))))</f>
        <v/>
      </c>
      <c r="F50" s="378" t="str">
        <f>IF($D50='W2'!$A$59,'W2'!C$59,IF($D50='W2'!$A$60,'W2'!C$60,IF($D50='W2'!$A$61,'W2'!C$61,IF($D50='W2'!$A$62,'W2'!C$62,IF($D50='W2'!$A$63,'W2'!C$63,IF($D50='W2'!$A$64,'W2'!C$64,IF($D50='W2'!$A$65,'W2'!C$65,IF($D50='W2'!$A$66,'W2'!C$66,IF($D50='W2'!$A$67,'W2'!C$67,IF($D50='W2'!$A$68,'W2'!D290,IF($D50='W2'!$A$69,'W2'!D290,IF($D50='W2'!$A$70,'W2'!D290,IF($D50='W2'!$A$71,"")))))))))))))</f>
        <v/>
      </c>
      <c r="G50" s="379"/>
      <c r="H50" s="366" t="str">
        <f>IF($D50='W2'!$A$59,'W2'!D$59,IF($D50='W2'!$A$60,'W2'!D$60,IF($D50='W2'!$A$61,'W2'!D$61,IF($D50='W2'!$A$62,'W2'!D$62,IF($D50='W2'!$A$63,'W2'!D$63,IF($D50='W2'!$A$64,'W2'!D$64,IF($D50='W2'!$A$65,'W2'!D$65,IF($D50='W2'!$A$66,'W2'!D$66,IF($D50='W2'!$A$67,'W2'!D$67,IF($D50='W2'!$A$68,'W2'!F290,IF($D50='W2'!$A$69,'W2'!F290,IF($D50='W2'!$A$70,'W2'!F290,IF($D50='W2'!$A$71,"")))))))))))))</f>
        <v/>
      </c>
      <c r="I50" s="367"/>
      <c r="J50" s="366" t="str">
        <f>IF($D50='W2'!$A$59,'W2'!E$59,IF($D50='W2'!$A$60,'W2'!E$60,IF($D50='W2'!$A$61,'W2'!E$61,IF($D50='W2'!$A$62,'W2'!E$62,IF($D50='W2'!$A$63,'W2'!E$63,IF($D50='W2'!$A$64,'W2'!E$64,IF($D50='W2'!$A$65,'W2'!E$65,IF($D50='W2'!$A$66,'W2'!E$66,IF($D50='W2'!$A$67,'W2'!E$67,IF($D50='W2'!$A$68,'W2'!H290,IF($D50='W2'!$A$69,'W2'!H290,IF($D50='W2'!$A$70,'W2'!H290,IF($D50='W2'!$A$71,"")))))))))))))</f>
        <v/>
      </c>
      <c r="K50" s="367"/>
      <c r="L50" s="366" t="str">
        <f>IF($D50='W2'!$A$59,'W2'!F$59,IF($D50='W2'!$A$60,'W2'!F$60,IF($D50='W2'!$A$61,'W2'!F$61,IF($D50='W2'!$A$62,'W2'!F$62,IF($D50='W2'!$A$63,'W2'!F$63,IF($D50='W2'!$A$64,'W2'!F$64,IF($D50='W2'!$A$65,'W2'!F$65,IF($D50='W2'!$A$66,'W2'!F$66,IF($D50='W2'!$A$67,'W2'!F$67,IF($D50='W2'!$A$68,'W2'!J290,IF($D50='W2'!$A$69,'W2'!J290,IF($D50='W2'!$A$70,'W2'!J290,IF($D50='W2'!$A$71,"")))))))))))))</f>
        <v/>
      </c>
      <c r="M50" s="367"/>
      <c r="N50" s="187">
        <f>IF(N23=0,0,IF(AND($D50="F-SMRA",N23=0),0,IF(AND($D50="F-SMRB",N23=0),0,IF(AND($D50="F-SMRC",N23=0),0,IF($D50='W2'!$A$68,'W2'!B316,IF($D50='W2'!$A$69,'W2'!B316,IF($D50='W2'!$A$70,'W2'!B316,ROUND(('Subcontract 2'!N23/'W2'!$C$5*'W2'!$C$9*(IF('Subcontract 2'!$D50='W2'!$A$47,'W2'!B$47,IF('Subcontract 2'!$D50='W2'!$A$48,'W2'!B$48,IF('Subcontract 2'!$D50='W2'!$A$49,'W2'!B$49,IF('Subcontract 2'!$D50='W2'!$A$50,'W2'!B$50,IF('Subcontract 2'!$D50='W2'!$A$51,'W2'!B$51,IF('Subcontract 2'!$D50='W2'!$A$52,'W2'!B$52,IF('Subcontract 2'!$D50='W2'!$A$53,'W2'!B$53,IF('Subcontract 2'!$D50='W2'!$A$54,'W2'!B$54,IF('Subcontract 2'!$D50='W2'!$A$55,'W2'!B$55))))))))))),0)+ROUND(N23/'W2'!$C$5*'W2'!$C$10*(IF('Subcontract 2'!$D50='W2'!$A$47,'W2'!C$47,IF('Subcontract 2'!$D50='W2'!$A$48,'W2'!C$48,IF('Subcontract 2'!$D50='W2'!$A$49,'W2'!C$49,IF('Subcontract 2'!$D50='W2'!$A$50,'W2'!C$50,IF('Subcontract 2'!$D50='W2'!$A$51,'W2'!C$51,IF('Subcontract 2'!$D50='W2'!$A$52,'W2'!C$52,IF('Subcontract 2'!$D50='W2'!$A$53,'W2'!C$53,IF('Subcontract 2'!$D50='W2'!$A$54,'W2'!C$54,IF('Subcontract 2'!$D50='W2'!$A$55,'W2'!C$55)))))))))),0))))))))</f>
        <v>0</v>
      </c>
      <c r="O50" s="187">
        <f>IF(O23=0,0,IF(AND($D50="F-SMRA",O23=0),0,IF(AND($D50="F-SMRB",O23=0),0,IF(AND($D50="F-SMRC",O23=0),0,IF($D50='W2'!$A$68,'W2'!D316,IF($D50='W2'!$A$69,'W2'!D316,IF($D50='W2'!$A$70,'W2'!D316,ROUND(('Subcontract 2'!O23/'W2'!$D$5*'W2'!$D$9*(IF('Subcontract 2'!$D50='W2'!$A$47,'W2'!D$47,IF('Subcontract 2'!$D50='W2'!$A$48,'W2'!D$48,IF('Subcontract 2'!$D50='W2'!$A$49,'W2'!D$49,IF('Subcontract 2'!$D50='W2'!$A$50,'W2'!D$50,IF('Subcontract 2'!$D50='W2'!$A$51,'W2'!D$51,IF('Subcontract 2'!$D50='W2'!$A$52,'W2'!D$52,IF('Subcontract 2'!$D50='W2'!$A$53,'W2'!D$53,IF('Subcontract 2'!$D50='W2'!$A$54,'W2'!D$54,IF('Subcontract 2'!$D50='W2'!$A$55,'W2'!D$55))))))))))),0)+ROUND(O23/'W2'!$D$5*'W2'!$D$10*(IF('Subcontract 2'!$D50='W2'!$A$47,'W2'!E$47,IF('Subcontract 2'!$D50='W2'!$A$48,'W2'!E$48,IF('Subcontract 2'!$D50='W2'!$A$49,'W2'!E$49,IF('Subcontract 2'!$D50='W2'!$A$50,'W2'!E$50,IF('Subcontract 2'!$D50='W2'!$A$51,'W2'!E$51,IF('Subcontract 2'!$D50='W2'!$A$52,'W2'!E$52,IF('Subcontract 2'!$D50='W2'!$A$53,'W2'!E$53,IF('Subcontract 2'!$D50='W2'!$A$54,'W2'!E$54,IF('Subcontract 2'!$D50='W2'!$A$55,'W2'!E$55)))))))))),0))))))))</f>
        <v>0</v>
      </c>
      <c r="P50" s="187">
        <f>IF(P23=0,0,IF(AND($D50="F-SMRA",P23=0),0,IF(AND($D50="F-SMRB",P23=0),0,IF(AND($D50="F-SMRC",P23=0),0,IF($D50='W2'!$A$68,'W2'!F316,IF($D50='W2'!$A$69,'W2'!F316,IF($D50='W2'!$A$70,'W2'!F316,ROUND(('Subcontract 2'!P23/'W2'!$E$5*'W2'!$E$9*(IF('Subcontract 2'!$D50='W2'!$A$47,'W2'!F$47,IF('Subcontract 2'!$D50='W2'!$A$48,'W2'!F$48,IF('Subcontract 2'!$D50='W2'!$A$49,'W2'!F$49,IF('Subcontract 2'!$D50='W2'!$A$50,'W2'!F$50,IF('Subcontract 2'!$D50='W2'!$A$51,'W2'!F$51,IF('Subcontract 2'!$D50='W2'!$A$52,'W2'!F$52,IF('Subcontract 2'!$D50='W2'!$A$53,'W2'!F$53,IF('Subcontract 2'!$D50='W2'!$A$54,'W2'!F$54,IF('Subcontract 2'!$D50='W2'!$A$55,'W2'!F$55))))))))))),0)+ROUND(P23/'W2'!$E$5*'W2'!$E$10*(IF('Subcontract 2'!$D50='W2'!$A$47,'W2'!G$47,IF('Subcontract 2'!$D50='W2'!$A$48,'W2'!G$48,IF('Subcontract 2'!$D50='W2'!$A$49,'W2'!G$49,IF('Subcontract 2'!$D50='W2'!$A$50,'W2'!G$50,IF('Subcontract 2'!$D50='W2'!$A$51,'W2'!G$51,IF('Subcontract 2'!$D50='W2'!$A$52,'W2'!G$52,IF('Subcontract 2'!$D50='W2'!$A$53,'W2'!G$53,IF('Subcontract 2'!$D50='W2'!$A$54,'W2'!G$54,IF('Subcontract 2'!$D50='W2'!$A$55,'W2'!G$55)))))))))),0))))))))</f>
        <v>0</v>
      </c>
      <c r="Q50" s="187">
        <f>IF(Q23=0,0,IF(AND($D50="F-SMRA",Q23=0),0,IF(AND($D50="F-SMRB",Q23=0),0,IF(AND($D50="F-SMRC",Q23=0),0,IF($D50='W2'!$A$68,'W2'!H316,IF($D50='W2'!$A$69,'W2'!H316,IF($D50='W2'!$A$70,'W2'!H316,ROUND(('Subcontract 2'!Q23/'W2'!$F$5*'W2'!$F$9*(IF('Subcontract 2'!$D50='W2'!$A$47,'W2'!H$47,IF('Subcontract 2'!$D50='W2'!$A$48,'W2'!H$48,IF('Subcontract 2'!$D50='W2'!$A$49,'W2'!H$49,IF('Subcontract 2'!$D50='W2'!$A$50,'W2'!H$50,IF('Subcontract 2'!$D50='W2'!$A$51,'W2'!H$51,IF('Subcontract 2'!$D50='W2'!$A$52,'W2'!H$52,IF('Subcontract 2'!$D50='W2'!$A$53,'W2'!H$53,IF('Subcontract 2'!$D50='W2'!$A$54,'W2'!H$54,IF('Subcontract 2'!$D50='W2'!$A$55,'W2'!H$55))))))))))),0)+ROUND(Q23/'W2'!$F$5*'W2'!$F$10*(IF('Subcontract 2'!$D50='W2'!$A$47,'W2'!I$47,IF('Subcontract 2'!$D50='W2'!$A$48,'W2'!I$48,IF('Subcontract 2'!$D50='W2'!$A$49,'W2'!I$49,IF('Subcontract 2'!$D50='W2'!$A$50,'W2'!I$50,IF('Subcontract 2'!$D50='W2'!$A$51,'W2'!I$51,IF('Subcontract 2'!$D50='W2'!$A$52,'W2'!I$52,IF('Subcontract 2'!$D50='W2'!$A$53,'W2'!I$53,IF('Subcontract 2'!$D50='W2'!$A$54,'W2'!I$54,IF('Subcontract 2'!$D50='W2'!$A$55,'W2'!I$55)))))))))),0))))))))</f>
        <v>0</v>
      </c>
      <c r="R50" s="187">
        <f>IF(R23=0,0,IF(AND($D50="F-SMRA",R23=0),0,IF(AND($D50="F-SMRB",R23=0),0,IF(AND($D50="F-SMRC",R23=0),0,IF($D50='W2'!$A$68,'W2'!J316,IF($D50='W2'!$A$69,'W2'!J316,IF($D50='W2'!$A$70,'W2'!J316,ROUND(('Subcontract 2'!R23/'W2'!$G$5*'W2'!$G$9*(IF('Subcontract 2'!$D50='W2'!$A$47,'W2'!J$47,IF('Subcontract 2'!$D50='W2'!$A$48,'W2'!J$48,IF('Subcontract 2'!$D50='W2'!$A$49,'W2'!J$49,IF('Subcontract 2'!$D50='W2'!$A$50,'W2'!J$50,IF('Subcontract 2'!$D50='W2'!$A$51,'W2'!J$51,IF('Subcontract 2'!$D50='W2'!$A$52,'W2'!J$52,IF('Subcontract 2'!$D50='W2'!$A$53,'W2'!J$53,IF('Subcontract 2'!$D50='W2'!$A$54,'W2'!J$54,IF('Subcontract 2'!$D50='W2'!$A$55,'W2'!J$55))))))))))),0)+ROUND(R23/'W2'!$G$5*'W2'!$G$10*(IF('Subcontract 2'!$D50='W2'!$A$47,'W2'!K$47,IF('Subcontract 2'!$D50='W2'!$A$48,'W2'!K$48,IF('Subcontract 2'!$D50='W2'!$A$49,'W2'!K$49,IF('Subcontract 2'!$D50='W2'!$A$50,'W2'!K$50,IF('Subcontract 2'!$D50='W2'!$A$51,'W2'!K$51,IF('Subcontract 2'!$D50='W2'!$A$52,'W2'!K$52,IF('Subcontract 2'!$D50='W2'!$A$53,'W2'!K$53,IF('Subcontract 2'!$D50='W2'!$A$54,'W2'!K$54,IF('Subcontract 2'!$D50='W2'!$A$55,'W2'!K$55)))))))))),0))))))))</f>
        <v>0</v>
      </c>
      <c r="S50" s="187">
        <f t="shared" si="6"/>
        <v>0</v>
      </c>
      <c r="T50" s="248"/>
      <c r="U50" s="248"/>
      <c r="V50" s="248"/>
      <c r="W50" s="248"/>
      <c r="X50" s="248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</row>
    <row r="51" spans="1:51" hidden="1" x14ac:dyDescent="0.2">
      <c r="A51" s="92">
        <v>17</v>
      </c>
      <c r="B51" s="381">
        <f t="shared" si="4"/>
        <v>0</v>
      </c>
      <c r="C51" s="382"/>
      <c r="D51" s="199" t="s">
        <v>52</v>
      </c>
      <c r="E51" s="277" t="str">
        <f>IF($D51='W2'!$A$59,'W2'!B$59,IF($D51='W2'!$A$60,'W2'!B$60,IF($D51='W2'!$A$61,'W2'!B$61,IF($D51='W2'!$A$62,'W2'!B$62,IF($D51='W2'!$A$63,'W2'!B$63,IF($D51='W2'!$A$64,'W2'!B$64,IF($D51='W2'!$A$65,'W2'!B$65,IF($D51='W2'!$A$66,'W2'!B$66,IF($D51='W2'!$A$67,'W2'!B$67,IF($D51='W2'!$A$68,'W2'!B291,IF($D51='W2'!$A$69,'W2'!B291,IF($D51='W2'!$A$70,'W2'!B291,IF($D51='W2'!$A$71,"")))))))))))))</f>
        <v/>
      </c>
      <c r="F51" s="378" t="str">
        <f>IF($D51='W2'!$A$59,'W2'!C$59,IF($D51='W2'!$A$60,'W2'!C$60,IF($D51='W2'!$A$61,'W2'!C$61,IF($D51='W2'!$A$62,'W2'!C$62,IF($D51='W2'!$A$63,'W2'!C$63,IF($D51='W2'!$A$64,'W2'!C$64,IF($D51='W2'!$A$65,'W2'!C$65,IF($D51='W2'!$A$66,'W2'!C$66,IF($D51='W2'!$A$67,'W2'!C$67,IF($D51='W2'!$A$68,'W2'!D291,IF($D51='W2'!$A$69,'W2'!D291,IF($D51='W2'!$A$70,'W2'!D291,IF($D51='W2'!$A$71,"")))))))))))))</f>
        <v/>
      </c>
      <c r="G51" s="379"/>
      <c r="H51" s="366" t="str">
        <f>IF($D51='W2'!$A$59,'W2'!D$59,IF($D51='W2'!$A$60,'W2'!D$60,IF($D51='W2'!$A$61,'W2'!D$61,IF($D51='W2'!$A$62,'W2'!D$62,IF($D51='W2'!$A$63,'W2'!D$63,IF($D51='W2'!$A$64,'W2'!D$64,IF($D51='W2'!$A$65,'W2'!D$65,IF($D51='W2'!$A$66,'W2'!D$66,IF($D51='W2'!$A$67,'W2'!D$67,IF($D51='W2'!$A$68,'W2'!F291,IF($D51='W2'!$A$69,'W2'!F291,IF($D51='W2'!$A$70,'W2'!F291,IF($D51='W2'!$A$71,"")))))))))))))</f>
        <v/>
      </c>
      <c r="I51" s="367"/>
      <c r="J51" s="366" t="str">
        <f>IF($D51='W2'!$A$59,'W2'!E$59,IF($D51='W2'!$A$60,'W2'!E$60,IF($D51='W2'!$A$61,'W2'!E$61,IF($D51='W2'!$A$62,'W2'!E$62,IF($D51='W2'!$A$63,'W2'!E$63,IF($D51='W2'!$A$64,'W2'!E$64,IF($D51='W2'!$A$65,'W2'!E$65,IF($D51='W2'!$A$66,'W2'!E$66,IF($D51='W2'!$A$67,'W2'!E$67,IF($D51='W2'!$A$68,'W2'!H291,IF($D51='W2'!$A$69,'W2'!H291,IF($D51='W2'!$A$70,'W2'!H291,IF($D51='W2'!$A$71,"")))))))))))))</f>
        <v/>
      </c>
      <c r="K51" s="367"/>
      <c r="L51" s="366" t="str">
        <f>IF($D51='W2'!$A$59,'W2'!F$59,IF($D51='W2'!$A$60,'W2'!F$60,IF($D51='W2'!$A$61,'W2'!F$61,IF($D51='W2'!$A$62,'W2'!F$62,IF($D51='W2'!$A$63,'W2'!F$63,IF($D51='W2'!$A$64,'W2'!F$64,IF($D51='W2'!$A$65,'W2'!F$65,IF($D51='W2'!$A$66,'W2'!F$66,IF($D51='W2'!$A$67,'W2'!F$67,IF($D51='W2'!$A$68,'W2'!J291,IF($D51='W2'!$A$69,'W2'!J291,IF($D51='W2'!$A$70,'W2'!J291,IF($D51='W2'!$A$71,"")))))))))))))</f>
        <v/>
      </c>
      <c r="M51" s="367"/>
      <c r="N51" s="187">
        <f>IF(N24=0,0,IF(AND($D51="F-SMRA",N24=0),0,IF(AND($D51="F-SMRB",N24=0),0,IF(AND($D51="F-SMRC",N24=0),0,IF($D51='W2'!$A$68,'W2'!B317,IF($D51='W2'!$A$69,'W2'!B317,IF($D51='W2'!$A$70,'W2'!B317,ROUND(('Subcontract 2'!N24/'W2'!$C$5*'W2'!$C$9*(IF('Subcontract 2'!$D51='W2'!$A$47,'W2'!B$47,IF('Subcontract 2'!$D51='W2'!$A$48,'W2'!B$48,IF('Subcontract 2'!$D51='W2'!$A$49,'W2'!B$49,IF('Subcontract 2'!$D51='W2'!$A$50,'W2'!B$50,IF('Subcontract 2'!$D51='W2'!$A$51,'W2'!B$51,IF('Subcontract 2'!$D51='W2'!$A$52,'W2'!B$52,IF('Subcontract 2'!$D51='W2'!$A$53,'W2'!B$53,IF('Subcontract 2'!$D51='W2'!$A$54,'W2'!B$54,IF('Subcontract 2'!$D51='W2'!$A$55,'W2'!B$55))))))))))),0)+ROUND(N24/'W2'!$C$5*'W2'!$C$10*(IF('Subcontract 2'!$D51='W2'!$A$47,'W2'!C$47,IF('Subcontract 2'!$D51='W2'!$A$48,'W2'!C$48,IF('Subcontract 2'!$D51='W2'!$A$49,'W2'!C$49,IF('Subcontract 2'!$D51='W2'!$A$50,'W2'!C$50,IF('Subcontract 2'!$D51='W2'!$A$51,'W2'!C$51,IF('Subcontract 2'!$D51='W2'!$A$52,'W2'!C$52,IF('Subcontract 2'!$D51='W2'!$A$53,'W2'!C$53,IF('Subcontract 2'!$D51='W2'!$A$54,'W2'!C$54,IF('Subcontract 2'!$D51='W2'!$A$55,'W2'!C$55)))))))))),0))))))))</f>
        <v>0</v>
      </c>
      <c r="O51" s="187">
        <f>IF(O24=0,0,IF(AND($D51="F-SMRA",O24=0),0,IF(AND($D51="F-SMRB",O24=0),0,IF(AND($D51="F-SMRC",O24=0),0,IF($D51='W2'!$A$68,'W2'!D317,IF($D51='W2'!$A$69,'W2'!D317,IF($D51='W2'!$A$70,'W2'!D317,ROUND(('Subcontract 2'!O24/'W2'!$D$5*'W2'!$D$9*(IF('Subcontract 2'!$D51='W2'!$A$47,'W2'!D$47,IF('Subcontract 2'!$D51='W2'!$A$48,'W2'!D$48,IF('Subcontract 2'!$D51='W2'!$A$49,'W2'!D$49,IF('Subcontract 2'!$D51='W2'!$A$50,'W2'!D$50,IF('Subcontract 2'!$D51='W2'!$A$51,'W2'!D$51,IF('Subcontract 2'!$D51='W2'!$A$52,'W2'!D$52,IF('Subcontract 2'!$D51='W2'!$A$53,'W2'!D$53,IF('Subcontract 2'!$D51='W2'!$A$54,'W2'!D$54,IF('Subcontract 2'!$D51='W2'!$A$55,'W2'!D$55))))))))))),0)+ROUND(O24/'W2'!$D$5*'W2'!$D$10*(IF('Subcontract 2'!$D51='W2'!$A$47,'W2'!E$47,IF('Subcontract 2'!$D51='W2'!$A$48,'W2'!E$48,IF('Subcontract 2'!$D51='W2'!$A$49,'W2'!E$49,IF('Subcontract 2'!$D51='W2'!$A$50,'W2'!E$50,IF('Subcontract 2'!$D51='W2'!$A$51,'W2'!E$51,IF('Subcontract 2'!$D51='W2'!$A$52,'W2'!E$52,IF('Subcontract 2'!$D51='W2'!$A$53,'W2'!E$53,IF('Subcontract 2'!$D51='W2'!$A$54,'W2'!E$54,IF('Subcontract 2'!$D51='W2'!$A$55,'W2'!E$55)))))))))),0))))))))</f>
        <v>0</v>
      </c>
      <c r="P51" s="187">
        <f>IF(P24=0,0,IF(AND($D51="F-SMRA",P24=0),0,IF(AND($D51="F-SMRB",P24=0),0,IF(AND($D51="F-SMRC",P24=0),0,IF($D51='W2'!$A$68,'W2'!F317,IF($D51='W2'!$A$69,'W2'!F317,IF($D51='W2'!$A$70,'W2'!F317,ROUND(('Subcontract 2'!P24/'W2'!$E$5*'W2'!$E$9*(IF('Subcontract 2'!$D51='W2'!$A$47,'W2'!F$47,IF('Subcontract 2'!$D51='W2'!$A$48,'W2'!F$48,IF('Subcontract 2'!$D51='W2'!$A$49,'W2'!F$49,IF('Subcontract 2'!$D51='W2'!$A$50,'W2'!F$50,IF('Subcontract 2'!$D51='W2'!$A$51,'W2'!F$51,IF('Subcontract 2'!$D51='W2'!$A$52,'W2'!F$52,IF('Subcontract 2'!$D51='W2'!$A$53,'W2'!F$53,IF('Subcontract 2'!$D51='W2'!$A$54,'W2'!F$54,IF('Subcontract 2'!$D51='W2'!$A$55,'W2'!F$55))))))))))),0)+ROUND(P24/'W2'!$E$5*'W2'!$E$10*(IF('Subcontract 2'!$D51='W2'!$A$47,'W2'!G$47,IF('Subcontract 2'!$D51='W2'!$A$48,'W2'!G$48,IF('Subcontract 2'!$D51='W2'!$A$49,'W2'!G$49,IF('Subcontract 2'!$D51='W2'!$A$50,'W2'!G$50,IF('Subcontract 2'!$D51='W2'!$A$51,'W2'!G$51,IF('Subcontract 2'!$D51='W2'!$A$52,'W2'!G$52,IF('Subcontract 2'!$D51='W2'!$A$53,'W2'!G$53,IF('Subcontract 2'!$D51='W2'!$A$54,'W2'!G$54,IF('Subcontract 2'!$D51='W2'!$A$55,'W2'!G$55)))))))))),0))))))))</f>
        <v>0</v>
      </c>
      <c r="Q51" s="187">
        <f>IF(Q24=0,0,IF(AND($D51="F-SMRA",Q24=0),0,IF(AND($D51="F-SMRB",Q24=0),0,IF(AND($D51="F-SMRC",Q24=0),0,IF($D51='W2'!$A$68,'W2'!H317,IF($D51='W2'!$A$69,'W2'!H317,IF($D51='W2'!$A$70,'W2'!H317,ROUND(('Subcontract 2'!Q24/'W2'!$F$5*'W2'!$F$9*(IF('Subcontract 2'!$D51='W2'!$A$47,'W2'!H$47,IF('Subcontract 2'!$D51='W2'!$A$48,'W2'!H$48,IF('Subcontract 2'!$D51='W2'!$A$49,'W2'!H$49,IF('Subcontract 2'!$D51='W2'!$A$50,'W2'!H$50,IF('Subcontract 2'!$D51='W2'!$A$51,'W2'!H$51,IF('Subcontract 2'!$D51='W2'!$A$52,'W2'!H$52,IF('Subcontract 2'!$D51='W2'!$A$53,'W2'!H$53,IF('Subcontract 2'!$D51='W2'!$A$54,'W2'!H$54,IF('Subcontract 2'!$D51='W2'!$A$55,'W2'!H$55))))))))))),0)+ROUND(Q24/'W2'!$F$5*'W2'!$F$10*(IF('Subcontract 2'!$D51='W2'!$A$47,'W2'!I$47,IF('Subcontract 2'!$D51='W2'!$A$48,'W2'!I$48,IF('Subcontract 2'!$D51='W2'!$A$49,'W2'!I$49,IF('Subcontract 2'!$D51='W2'!$A$50,'W2'!I$50,IF('Subcontract 2'!$D51='W2'!$A$51,'W2'!I$51,IF('Subcontract 2'!$D51='W2'!$A$52,'W2'!I$52,IF('Subcontract 2'!$D51='W2'!$A$53,'W2'!I$53,IF('Subcontract 2'!$D51='W2'!$A$54,'W2'!I$54,IF('Subcontract 2'!$D51='W2'!$A$55,'W2'!I$55)))))))))),0))))))))</f>
        <v>0</v>
      </c>
      <c r="R51" s="187">
        <f>IF(R24=0,0,IF(AND($D51="F-SMRA",R24=0),0,IF(AND($D51="F-SMRB",R24=0),0,IF(AND($D51="F-SMRC",R24=0),0,IF($D51='W2'!$A$68,'W2'!J317,IF($D51='W2'!$A$69,'W2'!J317,IF($D51='W2'!$A$70,'W2'!J317,ROUND(('Subcontract 2'!R24/'W2'!$G$5*'W2'!$G$9*(IF('Subcontract 2'!$D51='W2'!$A$47,'W2'!J$47,IF('Subcontract 2'!$D51='W2'!$A$48,'W2'!J$48,IF('Subcontract 2'!$D51='W2'!$A$49,'W2'!J$49,IF('Subcontract 2'!$D51='W2'!$A$50,'W2'!J$50,IF('Subcontract 2'!$D51='W2'!$A$51,'W2'!J$51,IF('Subcontract 2'!$D51='W2'!$A$52,'W2'!J$52,IF('Subcontract 2'!$D51='W2'!$A$53,'W2'!J$53,IF('Subcontract 2'!$D51='W2'!$A$54,'W2'!J$54,IF('Subcontract 2'!$D51='W2'!$A$55,'W2'!J$55))))))))))),0)+ROUND(R24/'W2'!$G$5*'W2'!$G$10*(IF('Subcontract 2'!$D51='W2'!$A$47,'W2'!K$47,IF('Subcontract 2'!$D51='W2'!$A$48,'W2'!K$48,IF('Subcontract 2'!$D51='W2'!$A$49,'W2'!K$49,IF('Subcontract 2'!$D51='W2'!$A$50,'W2'!K$50,IF('Subcontract 2'!$D51='W2'!$A$51,'W2'!K$51,IF('Subcontract 2'!$D51='W2'!$A$52,'W2'!K$52,IF('Subcontract 2'!$D51='W2'!$A$53,'W2'!K$53,IF('Subcontract 2'!$D51='W2'!$A$54,'W2'!K$54,IF('Subcontract 2'!$D51='W2'!$A$55,'W2'!K$55)))))))))),0))))))))</f>
        <v>0</v>
      </c>
      <c r="S51" s="187">
        <f t="shared" si="6"/>
        <v>0</v>
      </c>
      <c r="T51" s="248"/>
      <c r="U51" s="248"/>
      <c r="V51" s="248"/>
      <c r="W51" s="248"/>
      <c r="X51" s="248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</row>
    <row r="52" spans="1:51" hidden="1" x14ac:dyDescent="0.2">
      <c r="A52" s="92">
        <v>18</v>
      </c>
      <c r="B52" s="381">
        <f t="shared" si="4"/>
        <v>0</v>
      </c>
      <c r="C52" s="382"/>
      <c r="D52" s="199" t="s">
        <v>52</v>
      </c>
      <c r="E52" s="277" t="str">
        <f>IF($D52='W2'!$A$59,'W2'!B$59,IF($D52='W2'!$A$60,'W2'!B$60,IF($D52='W2'!$A$61,'W2'!B$61,IF($D52='W2'!$A$62,'W2'!B$62,IF($D52='W2'!$A$63,'W2'!B$63,IF($D52='W2'!$A$64,'W2'!B$64,IF($D52='W2'!$A$65,'W2'!B$65,IF($D52='W2'!$A$66,'W2'!B$66,IF($D52='W2'!$A$67,'W2'!B$67,IF($D52='W2'!$A$68,'W2'!B292,IF($D52='W2'!$A$69,'W2'!B292,IF($D52='W2'!$A$70,'W2'!B292,IF($D52='W2'!$A$71,"")))))))))))))</f>
        <v/>
      </c>
      <c r="F52" s="378" t="str">
        <f>IF($D52='W2'!$A$59,'W2'!C$59,IF($D52='W2'!$A$60,'W2'!C$60,IF($D52='W2'!$A$61,'W2'!C$61,IF($D52='W2'!$A$62,'W2'!C$62,IF($D52='W2'!$A$63,'W2'!C$63,IF($D52='W2'!$A$64,'W2'!C$64,IF($D52='W2'!$A$65,'W2'!C$65,IF($D52='W2'!$A$66,'W2'!C$66,IF($D52='W2'!$A$67,'W2'!C$67,IF($D52='W2'!$A$68,'W2'!D292,IF($D52='W2'!$A$69,'W2'!D292,IF($D52='W2'!$A$70,'W2'!D292,IF($D52='W2'!$A$71,"")))))))))))))</f>
        <v/>
      </c>
      <c r="G52" s="379"/>
      <c r="H52" s="366" t="str">
        <f>IF($D52='W2'!$A$59,'W2'!D$59,IF($D52='W2'!$A$60,'W2'!D$60,IF($D52='W2'!$A$61,'W2'!D$61,IF($D52='W2'!$A$62,'W2'!D$62,IF($D52='W2'!$A$63,'W2'!D$63,IF($D52='W2'!$A$64,'W2'!D$64,IF($D52='W2'!$A$65,'W2'!D$65,IF($D52='W2'!$A$66,'W2'!D$66,IF($D52='W2'!$A$67,'W2'!D$67,IF($D52='W2'!$A$68,'W2'!F292,IF($D52='W2'!$A$69,'W2'!F292,IF($D52='W2'!$A$70,'W2'!F292,IF($D52='W2'!$A$71,"")))))))))))))</f>
        <v/>
      </c>
      <c r="I52" s="367"/>
      <c r="J52" s="366" t="str">
        <f>IF($D52='W2'!$A$59,'W2'!E$59,IF($D52='W2'!$A$60,'W2'!E$60,IF($D52='W2'!$A$61,'W2'!E$61,IF($D52='W2'!$A$62,'W2'!E$62,IF($D52='W2'!$A$63,'W2'!E$63,IF($D52='W2'!$A$64,'W2'!E$64,IF($D52='W2'!$A$65,'W2'!E$65,IF($D52='W2'!$A$66,'W2'!E$66,IF($D52='W2'!$A$67,'W2'!E$67,IF($D52='W2'!$A$68,'W2'!H292,IF($D52='W2'!$A$69,'W2'!H292,IF($D52='W2'!$A$70,'W2'!H292,IF($D52='W2'!$A$71,"")))))))))))))</f>
        <v/>
      </c>
      <c r="K52" s="367"/>
      <c r="L52" s="366" t="str">
        <f>IF($D52='W2'!$A$59,'W2'!F$59,IF($D52='W2'!$A$60,'W2'!F$60,IF($D52='W2'!$A$61,'W2'!F$61,IF($D52='W2'!$A$62,'W2'!F$62,IF($D52='W2'!$A$63,'W2'!F$63,IF($D52='W2'!$A$64,'W2'!F$64,IF($D52='W2'!$A$65,'W2'!F$65,IF($D52='W2'!$A$66,'W2'!F$66,IF($D52='W2'!$A$67,'W2'!F$67,IF($D52='W2'!$A$68,'W2'!J292,IF($D52='W2'!$A$69,'W2'!J292,IF($D52='W2'!$A$70,'W2'!J292,IF($D52='W2'!$A$71,"")))))))))))))</f>
        <v/>
      </c>
      <c r="M52" s="367"/>
      <c r="N52" s="187">
        <f>IF(N25=0,0,IF(AND($D52="F-SMRA",N25=0),0,IF(AND($D52="F-SMRB",N25=0),0,IF(AND($D52="F-SMRC",N25=0),0,IF($D52='W2'!$A$68,'W2'!B318,IF($D52='W2'!$A$69,'W2'!B318,IF($D52='W2'!$A$70,'W2'!B318,ROUND(('Subcontract 2'!N25/'W2'!$C$5*'W2'!$C$9*(IF('Subcontract 2'!$D52='W2'!$A$47,'W2'!B$47,IF('Subcontract 2'!$D52='W2'!$A$48,'W2'!B$48,IF('Subcontract 2'!$D52='W2'!$A$49,'W2'!B$49,IF('Subcontract 2'!$D52='W2'!$A$50,'W2'!B$50,IF('Subcontract 2'!$D52='W2'!$A$51,'W2'!B$51,IF('Subcontract 2'!$D52='W2'!$A$52,'W2'!B$52,IF('Subcontract 2'!$D52='W2'!$A$53,'W2'!B$53,IF('Subcontract 2'!$D52='W2'!$A$54,'W2'!B$54,IF('Subcontract 2'!$D52='W2'!$A$55,'W2'!B$55))))))))))),0)+ROUND(N25/'W2'!$C$5*'W2'!$C$10*(IF('Subcontract 2'!$D52='W2'!$A$47,'W2'!C$47,IF('Subcontract 2'!$D52='W2'!$A$48,'W2'!C$48,IF('Subcontract 2'!$D52='W2'!$A$49,'W2'!C$49,IF('Subcontract 2'!$D52='W2'!$A$50,'W2'!C$50,IF('Subcontract 2'!$D52='W2'!$A$51,'W2'!C$51,IF('Subcontract 2'!$D52='W2'!$A$52,'W2'!C$52,IF('Subcontract 2'!$D52='W2'!$A$53,'W2'!C$53,IF('Subcontract 2'!$D52='W2'!$A$54,'W2'!C$54,IF('Subcontract 2'!$D52='W2'!$A$55,'W2'!C$55)))))))))),0))))))))</f>
        <v>0</v>
      </c>
      <c r="O52" s="187">
        <f>IF(O25=0,0,IF(AND($D52="F-SMRA",O25=0),0,IF(AND($D52="F-SMRB",O25=0),0,IF(AND($D52="F-SMRC",O25=0),0,IF($D52='W2'!$A$68,'W2'!D318,IF($D52='W2'!$A$69,'W2'!D318,IF($D52='W2'!$A$70,'W2'!D318,ROUND(('Subcontract 2'!O25/'W2'!$D$5*'W2'!$D$9*(IF('Subcontract 2'!$D52='W2'!$A$47,'W2'!D$47,IF('Subcontract 2'!$D52='W2'!$A$48,'W2'!D$48,IF('Subcontract 2'!$D52='W2'!$A$49,'W2'!D$49,IF('Subcontract 2'!$D52='W2'!$A$50,'W2'!D$50,IF('Subcontract 2'!$D52='W2'!$A$51,'W2'!D$51,IF('Subcontract 2'!$D52='W2'!$A$52,'W2'!D$52,IF('Subcontract 2'!$D52='W2'!$A$53,'W2'!D$53,IF('Subcontract 2'!$D52='W2'!$A$54,'W2'!D$54,IF('Subcontract 2'!$D52='W2'!$A$55,'W2'!D$55))))))))))),0)+ROUND(O25/'W2'!$D$5*'W2'!$D$10*(IF('Subcontract 2'!$D52='W2'!$A$47,'W2'!E$47,IF('Subcontract 2'!$D52='W2'!$A$48,'W2'!E$48,IF('Subcontract 2'!$D52='W2'!$A$49,'W2'!E$49,IF('Subcontract 2'!$D52='W2'!$A$50,'W2'!E$50,IF('Subcontract 2'!$D52='W2'!$A$51,'W2'!E$51,IF('Subcontract 2'!$D52='W2'!$A$52,'W2'!E$52,IF('Subcontract 2'!$D52='W2'!$A$53,'W2'!E$53,IF('Subcontract 2'!$D52='W2'!$A$54,'W2'!E$54,IF('Subcontract 2'!$D52='W2'!$A$55,'W2'!E$55)))))))))),0))))))))</f>
        <v>0</v>
      </c>
      <c r="P52" s="187">
        <f>IF(P25=0,0,IF(AND($D52="F-SMRA",P25=0),0,IF(AND($D52="F-SMRB",P25=0),0,IF(AND($D52="F-SMRC",P25=0),0,IF($D52='W2'!$A$68,'W2'!F318,IF($D52='W2'!$A$69,'W2'!F318,IF($D52='W2'!$A$70,'W2'!F318,ROUND(('Subcontract 2'!P25/'W2'!$E$5*'W2'!$E$9*(IF('Subcontract 2'!$D52='W2'!$A$47,'W2'!F$47,IF('Subcontract 2'!$D52='W2'!$A$48,'W2'!F$48,IF('Subcontract 2'!$D52='W2'!$A$49,'W2'!F$49,IF('Subcontract 2'!$D52='W2'!$A$50,'W2'!F$50,IF('Subcontract 2'!$D52='W2'!$A$51,'W2'!F$51,IF('Subcontract 2'!$D52='W2'!$A$52,'W2'!F$52,IF('Subcontract 2'!$D52='W2'!$A$53,'W2'!F$53,IF('Subcontract 2'!$D52='W2'!$A$54,'W2'!F$54,IF('Subcontract 2'!$D52='W2'!$A$55,'W2'!F$55))))))))))),0)+ROUND(P25/'W2'!$E$5*'W2'!$E$10*(IF('Subcontract 2'!$D52='W2'!$A$47,'W2'!G$47,IF('Subcontract 2'!$D52='W2'!$A$48,'W2'!G$48,IF('Subcontract 2'!$D52='W2'!$A$49,'W2'!G$49,IF('Subcontract 2'!$D52='W2'!$A$50,'W2'!G$50,IF('Subcontract 2'!$D52='W2'!$A$51,'W2'!G$51,IF('Subcontract 2'!$D52='W2'!$A$52,'W2'!G$52,IF('Subcontract 2'!$D52='W2'!$A$53,'W2'!G$53,IF('Subcontract 2'!$D52='W2'!$A$54,'W2'!G$54,IF('Subcontract 2'!$D52='W2'!$A$55,'W2'!G$55)))))))))),0))))))))</f>
        <v>0</v>
      </c>
      <c r="Q52" s="187">
        <f>IF(Q25=0,0,IF(AND($D52="F-SMRA",Q25=0),0,IF(AND($D52="F-SMRB",Q25=0),0,IF(AND($D52="F-SMRC",Q25=0),0,IF($D52='W2'!$A$68,'W2'!H318,IF($D52='W2'!$A$69,'W2'!H318,IF($D52='W2'!$A$70,'W2'!H318,ROUND(('Subcontract 2'!Q25/'W2'!$F$5*'W2'!$F$9*(IF('Subcontract 2'!$D52='W2'!$A$47,'W2'!H$47,IF('Subcontract 2'!$D52='W2'!$A$48,'W2'!H$48,IF('Subcontract 2'!$D52='W2'!$A$49,'W2'!H$49,IF('Subcontract 2'!$D52='W2'!$A$50,'W2'!H$50,IF('Subcontract 2'!$D52='W2'!$A$51,'W2'!H$51,IF('Subcontract 2'!$D52='W2'!$A$52,'W2'!H$52,IF('Subcontract 2'!$D52='W2'!$A$53,'W2'!H$53,IF('Subcontract 2'!$D52='W2'!$A$54,'W2'!H$54,IF('Subcontract 2'!$D52='W2'!$A$55,'W2'!H$55))))))))))),0)+ROUND(Q25/'W2'!$F$5*'W2'!$F$10*(IF('Subcontract 2'!$D52='W2'!$A$47,'W2'!I$47,IF('Subcontract 2'!$D52='W2'!$A$48,'W2'!I$48,IF('Subcontract 2'!$D52='W2'!$A$49,'W2'!I$49,IF('Subcontract 2'!$D52='W2'!$A$50,'W2'!I$50,IF('Subcontract 2'!$D52='W2'!$A$51,'W2'!I$51,IF('Subcontract 2'!$D52='W2'!$A$52,'W2'!I$52,IF('Subcontract 2'!$D52='W2'!$A$53,'W2'!I$53,IF('Subcontract 2'!$D52='W2'!$A$54,'W2'!I$54,IF('Subcontract 2'!$D52='W2'!$A$55,'W2'!I$55)))))))))),0))))))))</f>
        <v>0</v>
      </c>
      <c r="R52" s="187">
        <f>IF(R25=0,0,IF(AND($D52="F-SMRA",R25=0),0,IF(AND($D52="F-SMRB",R25=0),0,IF(AND($D52="F-SMRC",R25=0),0,IF($D52='W2'!$A$68,'W2'!J318,IF($D52='W2'!$A$69,'W2'!J318,IF($D52='W2'!$A$70,'W2'!J318,ROUND(('Subcontract 2'!R25/'W2'!$G$5*'W2'!$G$9*(IF('Subcontract 2'!$D52='W2'!$A$47,'W2'!J$47,IF('Subcontract 2'!$D52='W2'!$A$48,'W2'!J$48,IF('Subcontract 2'!$D52='W2'!$A$49,'W2'!J$49,IF('Subcontract 2'!$D52='W2'!$A$50,'W2'!J$50,IF('Subcontract 2'!$D52='W2'!$A$51,'W2'!J$51,IF('Subcontract 2'!$D52='W2'!$A$52,'W2'!J$52,IF('Subcontract 2'!$D52='W2'!$A$53,'W2'!J$53,IF('Subcontract 2'!$D52='W2'!$A$54,'W2'!J$54,IF('Subcontract 2'!$D52='W2'!$A$55,'W2'!J$55))))))))))),0)+ROUND(R25/'W2'!$G$5*'W2'!$G$10*(IF('Subcontract 2'!$D52='W2'!$A$47,'W2'!K$47,IF('Subcontract 2'!$D52='W2'!$A$48,'W2'!K$48,IF('Subcontract 2'!$D52='W2'!$A$49,'W2'!K$49,IF('Subcontract 2'!$D52='W2'!$A$50,'W2'!K$50,IF('Subcontract 2'!$D52='W2'!$A$51,'W2'!K$51,IF('Subcontract 2'!$D52='W2'!$A$52,'W2'!K$52,IF('Subcontract 2'!$D52='W2'!$A$53,'W2'!K$53,IF('Subcontract 2'!$D52='W2'!$A$54,'W2'!K$54,IF('Subcontract 2'!$D52='W2'!$A$55,'W2'!K$55)))))))))),0))))))))</f>
        <v>0</v>
      </c>
      <c r="S52" s="187">
        <f t="shared" si="6"/>
        <v>0</v>
      </c>
      <c r="T52" s="248"/>
      <c r="U52" s="248"/>
      <c r="V52" s="248"/>
      <c r="W52" s="248"/>
      <c r="X52" s="248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</row>
    <row r="53" spans="1:51" hidden="1" x14ac:dyDescent="0.2">
      <c r="A53" s="92">
        <v>19</v>
      </c>
      <c r="B53" s="381">
        <f t="shared" si="4"/>
        <v>0</v>
      </c>
      <c r="C53" s="382"/>
      <c r="D53" s="199" t="s">
        <v>52</v>
      </c>
      <c r="E53" s="277" t="str">
        <f>IF($D53='W2'!$A$59,'W2'!B$59,IF($D53='W2'!$A$60,'W2'!B$60,IF($D53='W2'!$A$61,'W2'!B$61,IF($D53='W2'!$A$62,'W2'!B$62,IF($D53='W2'!$A$63,'W2'!B$63,IF($D53='W2'!$A$64,'W2'!B$64,IF($D53='W2'!$A$65,'W2'!B$65,IF($D53='W2'!$A$66,'W2'!B$66,IF($D53='W2'!$A$67,'W2'!B$67,IF($D53='W2'!$A$68,'W2'!B293,IF($D53='W2'!$A$69,'W2'!B293,IF($D53='W2'!$A$70,'W2'!B293,IF($D53='W2'!$A$71,"")))))))))))))</f>
        <v/>
      </c>
      <c r="F53" s="378" t="str">
        <f>IF($D53='W2'!$A$59,'W2'!C$59,IF($D53='W2'!$A$60,'W2'!C$60,IF($D53='W2'!$A$61,'W2'!C$61,IF($D53='W2'!$A$62,'W2'!C$62,IF($D53='W2'!$A$63,'W2'!C$63,IF($D53='W2'!$A$64,'W2'!C$64,IF($D53='W2'!$A$65,'W2'!C$65,IF($D53='W2'!$A$66,'W2'!C$66,IF($D53='W2'!$A$67,'W2'!C$67,IF($D53='W2'!$A$68,'W2'!D293,IF($D53='W2'!$A$69,'W2'!D293,IF($D53='W2'!$A$70,'W2'!D293,IF($D53='W2'!$A$71,"")))))))))))))</f>
        <v/>
      </c>
      <c r="G53" s="379"/>
      <c r="H53" s="366" t="str">
        <f>IF($D53='W2'!$A$59,'W2'!D$59,IF($D53='W2'!$A$60,'W2'!D$60,IF($D53='W2'!$A$61,'W2'!D$61,IF($D53='W2'!$A$62,'W2'!D$62,IF($D53='W2'!$A$63,'W2'!D$63,IF($D53='W2'!$A$64,'W2'!D$64,IF($D53='W2'!$A$65,'W2'!D$65,IF($D53='W2'!$A$66,'W2'!D$66,IF($D53='W2'!$A$67,'W2'!D$67,IF($D53='W2'!$A$68,'W2'!F293,IF($D53='W2'!$A$69,'W2'!F293,IF($D53='W2'!$A$70,'W2'!F293,IF($D53='W2'!$A$71,"")))))))))))))</f>
        <v/>
      </c>
      <c r="I53" s="367"/>
      <c r="J53" s="366" t="str">
        <f>IF($D53='W2'!$A$59,'W2'!E$59,IF($D53='W2'!$A$60,'W2'!E$60,IF($D53='W2'!$A$61,'W2'!E$61,IF($D53='W2'!$A$62,'W2'!E$62,IF($D53='W2'!$A$63,'W2'!E$63,IF($D53='W2'!$A$64,'W2'!E$64,IF($D53='W2'!$A$65,'W2'!E$65,IF($D53='W2'!$A$66,'W2'!E$66,IF($D53='W2'!$A$67,'W2'!E$67,IF($D53='W2'!$A$68,'W2'!H293,IF($D53='W2'!$A$69,'W2'!H293,IF($D53='W2'!$A$70,'W2'!H293,IF($D53='W2'!$A$71,"")))))))))))))</f>
        <v/>
      </c>
      <c r="K53" s="367"/>
      <c r="L53" s="366" t="str">
        <f>IF($D53='W2'!$A$59,'W2'!F$59,IF($D53='W2'!$A$60,'W2'!F$60,IF($D53='W2'!$A$61,'W2'!F$61,IF($D53='W2'!$A$62,'W2'!F$62,IF($D53='W2'!$A$63,'W2'!F$63,IF($D53='W2'!$A$64,'W2'!F$64,IF($D53='W2'!$A$65,'W2'!F$65,IF($D53='W2'!$A$66,'W2'!F$66,IF($D53='W2'!$A$67,'W2'!F$67,IF($D53='W2'!$A$68,'W2'!J293,IF($D53='W2'!$A$69,'W2'!J293,IF($D53='W2'!$A$70,'W2'!J293,IF($D53='W2'!$A$71,"")))))))))))))</f>
        <v/>
      </c>
      <c r="M53" s="367"/>
      <c r="N53" s="187">
        <f>IF(N26=0,0,IF(AND($D53="F-SMRA",N26=0),0,IF(AND($D53="F-SMRB",N26=0),0,IF(AND($D53="F-SMRC",N26=0),0,IF($D53='W2'!$A$68,'W2'!B319,IF($D53='W2'!$A$69,'W2'!B319,IF($D53='W2'!$A$70,'W2'!B319,ROUND(('Subcontract 2'!N26/'W2'!$C$5*'W2'!$C$9*(IF('Subcontract 2'!$D53='W2'!$A$47,'W2'!B$47,IF('Subcontract 2'!$D53='W2'!$A$48,'W2'!B$48,IF('Subcontract 2'!$D53='W2'!$A$49,'W2'!B$49,IF('Subcontract 2'!$D53='W2'!$A$50,'W2'!B$50,IF('Subcontract 2'!$D53='W2'!$A$51,'W2'!B$51,IF('Subcontract 2'!$D53='W2'!$A$52,'W2'!B$52,IF('Subcontract 2'!$D53='W2'!$A$53,'W2'!B$53,IF('Subcontract 2'!$D53='W2'!$A$54,'W2'!B$54,IF('Subcontract 2'!$D53='W2'!$A$55,'W2'!B$55))))))))))),0)+ROUND(N26/'W2'!$C$5*'W2'!$C$10*(IF('Subcontract 2'!$D53='W2'!$A$47,'W2'!C$47,IF('Subcontract 2'!$D53='W2'!$A$48,'W2'!C$48,IF('Subcontract 2'!$D53='W2'!$A$49,'W2'!C$49,IF('Subcontract 2'!$D53='W2'!$A$50,'W2'!C$50,IF('Subcontract 2'!$D53='W2'!$A$51,'W2'!C$51,IF('Subcontract 2'!$D53='W2'!$A$52,'W2'!C$52,IF('Subcontract 2'!$D53='W2'!$A$53,'W2'!C$53,IF('Subcontract 2'!$D53='W2'!$A$54,'W2'!C$54,IF('Subcontract 2'!$D53='W2'!$A$55,'W2'!C$55)))))))))),0))))))))</f>
        <v>0</v>
      </c>
      <c r="O53" s="187">
        <f>IF(O26=0,0,IF(AND($D53="F-SMRA",O26=0),0,IF(AND($D53="F-SMRB",O26=0),0,IF(AND($D53="F-SMRC",O26=0),0,IF($D53='W2'!$A$68,'W2'!D319,IF($D53='W2'!$A$69,'W2'!D319,IF($D53='W2'!$A$70,'W2'!D319,ROUND(('Subcontract 2'!O26/'W2'!$D$5*'W2'!$D$9*(IF('Subcontract 2'!$D53='W2'!$A$47,'W2'!D$47,IF('Subcontract 2'!$D53='W2'!$A$48,'W2'!D$48,IF('Subcontract 2'!$D53='W2'!$A$49,'W2'!D$49,IF('Subcontract 2'!$D53='W2'!$A$50,'W2'!D$50,IF('Subcontract 2'!$D53='W2'!$A$51,'W2'!D$51,IF('Subcontract 2'!$D53='W2'!$A$52,'W2'!D$52,IF('Subcontract 2'!$D53='W2'!$A$53,'W2'!D$53,IF('Subcontract 2'!$D53='W2'!$A$54,'W2'!D$54,IF('Subcontract 2'!$D53='W2'!$A$55,'W2'!D$55))))))))))),0)+ROUND(O26/'W2'!$D$5*'W2'!$D$10*(IF('Subcontract 2'!$D53='W2'!$A$47,'W2'!E$47,IF('Subcontract 2'!$D53='W2'!$A$48,'W2'!E$48,IF('Subcontract 2'!$D53='W2'!$A$49,'W2'!E$49,IF('Subcontract 2'!$D53='W2'!$A$50,'W2'!E$50,IF('Subcontract 2'!$D53='W2'!$A$51,'W2'!E$51,IF('Subcontract 2'!$D53='W2'!$A$52,'W2'!E$52,IF('Subcontract 2'!$D53='W2'!$A$53,'W2'!E$53,IF('Subcontract 2'!$D53='W2'!$A$54,'W2'!E$54,IF('Subcontract 2'!$D53='W2'!$A$55,'W2'!E$55)))))))))),0))))))))</f>
        <v>0</v>
      </c>
      <c r="P53" s="187">
        <f>IF(P26=0,0,IF(AND($D53="F-SMRA",P26=0),0,IF(AND($D53="F-SMRB",P26=0),0,IF(AND($D53="F-SMRC",P26=0),0,IF($D53='W2'!$A$68,'W2'!F319,IF($D53='W2'!$A$69,'W2'!F319,IF($D53='W2'!$A$70,'W2'!F319,ROUND(('Subcontract 2'!P26/'W2'!$E$5*'W2'!$E$9*(IF('Subcontract 2'!$D53='W2'!$A$47,'W2'!F$47,IF('Subcontract 2'!$D53='W2'!$A$48,'W2'!F$48,IF('Subcontract 2'!$D53='W2'!$A$49,'W2'!F$49,IF('Subcontract 2'!$D53='W2'!$A$50,'W2'!F$50,IF('Subcontract 2'!$D53='W2'!$A$51,'W2'!F$51,IF('Subcontract 2'!$D53='W2'!$A$52,'W2'!F$52,IF('Subcontract 2'!$D53='W2'!$A$53,'W2'!F$53,IF('Subcontract 2'!$D53='W2'!$A$54,'W2'!F$54,IF('Subcontract 2'!$D53='W2'!$A$55,'W2'!F$55))))))))))),0)+ROUND(P26/'W2'!$E$5*'W2'!$E$10*(IF('Subcontract 2'!$D53='W2'!$A$47,'W2'!G$47,IF('Subcontract 2'!$D53='W2'!$A$48,'W2'!G$48,IF('Subcontract 2'!$D53='W2'!$A$49,'W2'!G$49,IF('Subcontract 2'!$D53='W2'!$A$50,'W2'!G$50,IF('Subcontract 2'!$D53='W2'!$A$51,'W2'!G$51,IF('Subcontract 2'!$D53='W2'!$A$52,'W2'!G$52,IF('Subcontract 2'!$D53='W2'!$A$53,'W2'!G$53,IF('Subcontract 2'!$D53='W2'!$A$54,'W2'!G$54,IF('Subcontract 2'!$D53='W2'!$A$55,'W2'!G$55)))))))))),0))))))))</f>
        <v>0</v>
      </c>
      <c r="Q53" s="187">
        <f>IF(Q26=0,0,IF(AND($D53="F-SMRA",Q26=0),0,IF(AND($D53="F-SMRB",Q26=0),0,IF(AND($D53="F-SMRC",Q26=0),0,IF($D53='W2'!$A$68,'W2'!H319,IF($D53='W2'!$A$69,'W2'!H319,IF($D53='W2'!$A$70,'W2'!H319,ROUND(('Subcontract 2'!Q26/'W2'!$F$5*'W2'!$F$9*(IF('Subcontract 2'!$D53='W2'!$A$47,'W2'!H$47,IF('Subcontract 2'!$D53='W2'!$A$48,'W2'!H$48,IF('Subcontract 2'!$D53='W2'!$A$49,'W2'!H$49,IF('Subcontract 2'!$D53='W2'!$A$50,'W2'!H$50,IF('Subcontract 2'!$D53='W2'!$A$51,'W2'!H$51,IF('Subcontract 2'!$D53='W2'!$A$52,'W2'!H$52,IF('Subcontract 2'!$D53='W2'!$A$53,'W2'!H$53,IF('Subcontract 2'!$D53='W2'!$A$54,'W2'!H$54,IF('Subcontract 2'!$D53='W2'!$A$55,'W2'!H$55))))))))))),0)+ROUND(Q26/'W2'!$F$5*'W2'!$F$10*(IF('Subcontract 2'!$D53='W2'!$A$47,'W2'!I$47,IF('Subcontract 2'!$D53='W2'!$A$48,'W2'!I$48,IF('Subcontract 2'!$D53='W2'!$A$49,'W2'!I$49,IF('Subcontract 2'!$D53='W2'!$A$50,'W2'!I$50,IF('Subcontract 2'!$D53='W2'!$A$51,'W2'!I$51,IF('Subcontract 2'!$D53='W2'!$A$52,'W2'!I$52,IF('Subcontract 2'!$D53='W2'!$A$53,'W2'!I$53,IF('Subcontract 2'!$D53='W2'!$A$54,'W2'!I$54,IF('Subcontract 2'!$D53='W2'!$A$55,'W2'!I$55)))))))))),0))))))))</f>
        <v>0</v>
      </c>
      <c r="R53" s="187">
        <f>IF(R26=0,0,IF(AND($D53="F-SMRA",R26=0),0,IF(AND($D53="F-SMRB",R26=0),0,IF(AND($D53="F-SMRC",R26=0),0,IF($D53='W2'!$A$68,'W2'!J319,IF($D53='W2'!$A$69,'W2'!J319,IF($D53='W2'!$A$70,'W2'!J319,ROUND(('Subcontract 2'!R26/'W2'!$G$5*'W2'!$G$9*(IF('Subcontract 2'!$D53='W2'!$A$47,'W2'!J$47,IF('Subcontract 2'!$D53='W2'!$A$48,'W2'!J$48,IF('Subcontract 2'!$D53='W2'!$A$49,'W2'!J$49,IF('Subcontract 2'!$D53='W2'!$A$50,'W2'!J$50,IF('Subcontract 2'!$D53='W2'!$A$51,'W2'!J$51,IF('Subcontract 2'!$D53='W2'!$A$52,'W2'!J$52,IF('Subcontract 2'!$D53='W2'!$A$53,'W2'!J$53,IF('Subcontract 2'!$D53='W2'!$A$54,'W2'!J$54,IF('Subcontract 2'!$D53='W2'!$A$55,'W2'!J$55))))))))))),0)+ROUND(R26/'W2'!$G$5*'W2'!$G$10*(IF('Subcontract 2'!$D53='W2'!$A$47,'W2'!K$47,IF('Subcontract 2'!$D53='W2'!$A$48,'W2'!K$48,IF('Subcontract 2'!$D53='W2'!$A$49,'W2'!K$49,IF('Subcontract 2'!$D53='W2'!$A$50,'W2'!K$50,IF('Subcontract 2'!$D53='W2'!$A$51,'W2'!K$51,IF('Subcontract 2'!$D53='W2'!$A$52,'W2'!K$52,IF('Subcontract 2'!$D53='W2'!$A$53,'W2'!K$53,IF('Subcontract 2'!$D53='W2'!$A$54,'W2'!K$54,IF('Subcontract 2'!$D53='W2'!$A$55,'W2'!K$55)))))))))),0))))))))</f>
        <v>0</v>
      </c>
      <c r="S53" s="187">
        <f t="shared" si="6"/>
        <v>0</v>
      </c>
      <c r="T53" s="248"/>
      <c r="U53" s="248"/>
      <c r="V53" s="248"/>
      <c r="W53" s="248"/>
      <c r="X53" s="248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</row>
    <row r="54" spans="1:51" hidden="1" x14ac:dyDescent="0.2">
      <c r="A54" s="92">
        <v>20</v>
      </c>
      <c r="B54" s="381">
        <f t="shared" si="4"/>
        <v>0</v>
      </c>
      <c r="C54" s="382"/>
      <c r="D54" s="199" t="s">
        <v>52</v>
      </c>
      <c r="E54" s="277" t="str">
        <f>IF($D54='W2'!$A$59,'W2'!B$59,IF($D54='W2'!$A$60,'W2'!B$60,IF($D54='W2'!$A$61,'W2'!B$61,IF($D54='W2'!$A$62,'W2'!B$62,IF($D54='W2'!$A$63,'W2'!B$63,IF($D54='W2'!$A$64,'W2'!B$64,IF($D54='W2'!$A$65,'W2'!B$65,IF($D54='W2'!$A$66,'W2'!B$66,IF($D54='W2'!$A$67,'W2'!B$67,IF($D54='W2'!$A$68,'W2'!B294,IF($D54='W2'!$A$69,'W2'!B294,IF($D54='W2'!$A$70,'W2'!B294,IF($D54='W2'!$A$71,"")))))))))))))</f>
        <v/>
      </c>
      <c r="F54" s="378" t="str">
        <f>IF($D54='W2'!$A$59,'W2'!C$59,IF($D54='W2'!$A$60,'W2'!C$60,IF($D54='W2'!$A$61,'W2'!C$61,IF($D54='W2'!$A$62,'W2'!C$62,IF($D54='W2'!$A$63,'W2'!C$63,IF($D54='W2'!$A$64,'W2'!C$64,IF($D54='W2'!$A$65,'W2'!C$65,IF($D54='W2'!$A$66,'W2'!C$66,IF($D54='W2'!$A$67,'W2'!C$67,IF($D54='W2'!$A$68,'W2'!D294,IF($D54='W2'!$A$69,'W2'!D294,IF($D54='W2'!$A$70,'W2'!D294,IF($D54='W2'!$A$71,"")))))))))))))</f>
        <v/>
      </c>
      <c r="G54" s="379"/>
      <c r="H54" s="366" t="str">
        <f>IF($D54='W2'!$A$59,'W2'!D$59,IF($D54='W2'!$A$60,'W2'!D$60,IF($D54='W2'!$A$61,'W2'!D$61,IF($D54='W2'!$A$62,'W2'!D$62,IF($D54='W2'!$A$63,'W2'!D$63,IF($D54='W2'!$A$64,'W2'!D$64,IF($D54='W2'!$A$65,'W2'!D$65,IF($D54='W2'!$A$66,'W2'!D$66,IF($D54='W2'!$A$67,'W2'!D$67,IF($D54='W2'!$A$68,'W2'!F294,IF($D54='W2'!$A$69,'W2'!F294,IF($D54='W2'!$A$70,'W2'!F294,IF($D54='W2'!$A$71,"")))))))))))))</f>
        <v/>
      </c>
      <c r="I54" s="367"/>
      <c r="J54" s="366" t="str">
        <f>IF($D54='W2'!$A$59,'W2'!E$59,IF($D54='W2'!$A$60,'W2'!E$60,IF($D54='W2'!$A$61,'W2'!E$61,IF($D54='W2'!$A$62,'W2'!E$62,IF($D54='W2'!$A$63,'W2'!E$63,IF($D54='W2'!$A$64,'W2'!E$64,IF($D54='W2'!$A$65,'W2'!E$65,IF($D54='W2'!$A$66,'W2'!E$66,IF($D54='W2'!$A$67,'W2'!E$67,IF($D54='W2'!$A$68,'W2'!H294,IF($D54='W2'!$A$69,'W2'!H294,IF($D54='W2'!$A$70,'W2'!H294,IF($D54='W2'!$A$71,"")))))))))))))</f>
        <v/>
      </c>
      <c r="K54" s="367"/>
      <c r="L54" s="366" t="str">
        <f>IF($D54='W2'!$A$59,'W2'!F$59,IF($D54='W2'!$A$60,'W2'!F$60,IF($D54='W2'!$A$61,'W2'!F$61,IF($D54='W2'!$A$62,'W2'!F$62,IF($D54='W2'!$A$63,'W2'!F$63,IF($D54='W2'!$A$64,'W2'!F$64,IF($D54='W2'!$A$65,'W2'!F$65,IF($D54='W2'!$A$66,'W2'!F$66,IF($D54='W2'!$A$67,'W2'!F$67,IF($D54='W2'!$A$68,'W2'!J294,IF($D54='W2'!$A$69,'W2'!J294,IF($D54='W2'!$A$70,'W2'!J294,IF($D54='W2'!$A$71,"")))))))))))))</f>
        <v/>
      </c>
      <c r="M54" s="367"/>
      <c r="N54" s="187">
        <f>IF(N27=0,0,IF(AND($D54="F-SMRA",N27=0),0,IF(AND($D54="F-SMRB",N27=0),0,IF(AND($D54="F-SMRC",N27=0),0,IF($D54='W2'!$A$68,'W2'!B320,IF($D54='W2'!$A$69,'W2'!B320,IF($D54='W2'!$A$70,'W2'!B320,ROUND(('Subcontract 2'!N27/'W2'!$C$5*'W2'!$C$9*(IF('Subcontract 2'!$D54='W2'!$A$47,'W2'!B$47,IF('Subcontract 2'!$D54='W2'!$A$48,'W2'!B$48,IF('Subcontract 2'!$D54='W2'!$A$49,'W2'!B$49,IF('Subcontract 2'!$D54='W2'!$A$50,'W2'!B$50,IF('Subcontract 2'!$D54='W2'!$A$51,'W2'!B$51,IF('Subcontract 2'!$D54='W2'!$A$52,'W2'!B$52,IF('Subcontract 2'!$D54='W2'!$A$53,'W2'!B$53,IF('Subcontract 2'!$D54='W2'!$A$54,'W2'!B$54,IF('Subcontract 2'!$D54='W2'!$A$55,'W2'!B$55))))))))))),0)+ROUND(N27/'W2'!$C$5*'W2'!$C$10*(IF('Subcontract 2'!$D54='W2'!$A$47,'W2'!C$47,IF('Subcontract 2'!$D54='W2'!$A$48,'W2'!C$48,IF('Subcontract 2'!$D54='W2'!$A$49,'W2'!C$49,IF('Subcontract 2'!$D54='W2'!$A$50,'W2'!C$50,IF('Subcontract 2'!$D54='W2'!$A$51,'W2'!C$51,IF('Subcontract 2'!$D54='W2'!$A$52,'W2'!C$52,IF('Subcontract 2'!$D54='W2'!$A$53,'W2'!C$53,IF('Subcontract 2'!$D54='W2'!$A$54,'W2'!C$54,IF('Subcontract 2'!$D54='W2'!$A$55,'W2'!C$55)))))))))),0))))))))</f>
        <v>0</v>
      </c>
      <c r="O54" s="187">
        <f>IF(O27=0,0,IF(AND($D54="F-SMRA",O27=0),0,IF(AND($D54="F-SMRB",O27=0),0,IF(AND($D54="F-SMRC",O27=0),0,IF($D54='W2'!$A$68,'W2'!D320,IF($D54='W2'!$A$69,'W2'!D320,IF($D54='W2'!$A$70,'W2'!D320,ROUND(('Subcontract 2'!O27/'W2'!$D$5*'W2'!$D$9*(IF('Subcontract 2'!$D54='W2'!$A$47,'W2'!D$47,IF('Subcontract 2'!$D54='W2'!$A$48,'W2'!D$48,IF('Subcontract 2'!$D54='W2'!$A$49,'W2'!D$49,IF('Subcontract 2'!$D54='W2'!$A$50,'W2'!D$50,IF('Subcontract 2'!$D54='W2'!$A$51,'W2'!D$51,IF('Subcontract 2'!$D54='W2'!$A$52,'W2'!D$52,IF('Subcontract 2'!$D54='W2'!$A$53,'W2'!D$53,IF('Subcontract 2'!$D54='W2'!$A$54,'W2'!D$54,IF('Subcontract 2'!$D54='W2'!$A$55,'W2'!D$55))))))))))),0)+ROUND(O27/'W2'!$D$5*'W2'!$D$10*(IF('Subcontract 2'!$D54='W2'!$A$47,'W2'!E$47,IF('Subcontract 2'!$D54='W2'!$A$48,'W2'!E$48,IF('Subcontract 2'!$D54='W2'!$A$49,'W2'!E$49,IF('Subcontract 2'!$D54='W2'!$A$50,'W2'!E$50,IF('Subcontract 2'!$D54='W2'!$A$51,'W2'!E$51,IF('Subcontract 2'!$D54='W2'!$A$52,'W2'!E$52,IF('Subcontract 2'!$D54='W2'!$A$53,'W2'!E$53,IF('Subcontract 2'!$D54='W2'!$A$54,'W2'!E$54,IF('Subcontract 2'!$D54='W2'!$A$55,'W2'!E$55)))))))))),0))))))))</f>
        <v>0</v>
      </c>
      <c r="P54" s="187">
        <f>IF(P27=0,0,IF(AND($D54="F-SMRA",P27=0),0,IF(AND($D54="F-SMRB",P27=0),0,IF(AND($D54="F-SMRC",P27=0),0,IF($D54='W2'!$A$68,'W2'!F320,IF($D54='W2'!$A$69,'W2'!F320,IF($D54='W2'!$A$70,'W2'!F320,ROUND(('Subcontract 2'!P27/'W2'!$E$5*'W2'!$E$9*(IF('Subcontract 2'!$D54='W2'!$A$47,'W2'!F$47,IF('Subcontract 2'!$D54='W2'!$A$48,'W2'!F$48,IF('Subcontract 2'!$D54='W2'!$A$49,'W2'!F$49,IF('Subcontract 2'!$D54='W2'!$A$50,'W2'!F$50,IF('Subcontract 2'!$D54='W2'!$A$51,'W2'!F$51,IF('Subcontract 2'!$D54='W2'!$A$52,'W2'!F$52,IF('Subcontract 2'!$D54='W2'!$A$53,'W2'!F$53,IF('Subcontract 2'!$D54='W2'!$A$54,'W2'!F$54,IF('Subcontract 2'!$D54='W2'!$A$55,'W2'!F$55))))))))))),0)+ROUND(P27/'W2'!$E$5*'W2'!$E$10*(IF('Subcontract 2'!$D54='W2'!$A$47,'W2'!G$47,IF('Subcontract 2'!$D54='W2'!$A$48,'W2'!G$48,IF('Subcontract 2'!$D54='W2'!$A$49,'W2'!G$49,IF('Subcontract 2'!$D54='W2'!$A$50,'W2'!G$50,IF('Subcontract 2'!$D54='W2'!$A$51,'W2'!G$51,IF('Subcontract 2'!$D54='W2'!$A$52,'W2'!G$52,IF('Subcontract 2'!$D54='W2'!$A$53,'W2'!G$53,IF('Subcontract 2'!$D54='W2'!$A$54,'W2'!G$54,IF('Subcontract 2'!$D54='W2'!$A$55,'W2'!G$55)))))))))),0))))))))</f>
        <v>0</v>
      </c>
      <c r="Q54" s="187">
        <f>IF(Q27=0,0,IF(AND($D54="F-SMRA",Q27=0),0,IF(AND($D54="F-SMRB",Q27=0),0,IF(AND($D54="F-SMRC",Q27=0),0,IF($D54='W2'!$A$68,'W2'!H320,IF($D54='W2'!$A$69,'W2'!H320,IF($D54='W2'!$A$70,'W2'!H320,ROUND(('Subcontract 2'!Q27/'W2'!$F$5*'W2'!$F$9*(IF('Subcontract 2'!$D54='W2'!$A$47,'W2'!H$47,IF('Subcontract 2'!$D54='W2'!$A$48,'W2'!H$48,IF('Subcontract 2'!$D54='W2'!$A$49,'W2'!H$49,IF('Subcontract 2'!$D54='W2'!$A$50,'W2'!H$50,IF('Subcontract 2'!$D54='W2'!$A$51,'W2'!H$51,IF('Subcontract 2'!$D54='W2'!$A$52,'W2'!H$52,IF('Subcontract 2'!$D54='W2'!$A$53,'W2'!H$53,IF('Subcontract 2'!$D54='W2'!$A$54,'W2'!H$54,IF('Subcontract 2'!$D54='W2'!$A$55,'W2'!H$55))))))))))),0)+ROUND(Q27/'W2'!$F$5*'W2'!$F$10*(IF('Subcontract 2'!$D54='W2'!$A$47,'W2'!I$47,IF('Subcontract 2'!$D54='W2'!$A$48,'W2'!I$48,IF('Subcontract 2'!$D54='W2'!$A$49,'W2'!I$49,IF('Subcontract 2'!$D54='W2'!$A$50,'W2'!I$50,IF('Subcontract 2'!$D54='W2'!$A$51,'W2'!I$51,IF('Subcontract 2'!$D54='W2'!$A$52,'W2'!I$52,IF('Subcontract 2'!$D54='W2'!$A$53,'W2'!I$53,IF('Subcontract 2'!$D54='W2'!$A$54,'W2'!I$54,IF('Subcontract 2'!$D54='W2'!$A$55,'W2'!I$55)))))))))),0))))))))</f>
        <v>0</v>
      </c>
      <c r="R54" s="187">
        <f>IF(R27=0,0,IF(AND($D54="F-SMRA",R27=0),0,IF(AND($D54="F-SMRB",R27=0),0,IF(AND($D54="F-SMRC",R27=0),0,IF($D54='W2'!$A$68,'W2'!J320,IF($D54='W2'!$A$69,'W2'!J320,IF($D54='W2'!$A$70,'W2'!J320,ROUND(('Subcontract 2'!R27/'W2'!$G$5*'W2'!$G$9*(IF('Subcontract 2'!$D54='W2'!$A$47,'W2'!J$47,IF('Subcontract 2'!$D54='W2'!$A$48,'W2'!J$48,IF('Subcontract 2'!$D54='W2'!$A$49,'W2'!J$49,IF('Subcontract 2'!$D54='W2'!$A$50,'W2'!J$50,IF('Subcontract 2'!$D54='W2'!$A$51,'W2'!J$51,IF('Subcontract 2'!$D54='W2'!$A$52,'W2'!J$52,IF('Subcontract 2'!$D54='W2'!$A$53,'W2'!J$53,IF('Subcontract 2'!$D54='W2'!$A$54,'W2'!J$54,IF('Subcontract 2'!$D54='W2'!$A$55,'W2'!J$55))))))))))),0)+ROUND(R27/'W2'!$G$5*'W2'!$G$10*(IF('Subcontract 2'!$D54='W2'!$A$47,'W2'!K$47,IF('Subcontract 2'!$D54='W2'!$A$48,'W2'!K$48,IF('Subcontract 2'!$D54='W2'!$A$49,'W2'!K$49,IF('Subcontract 2'!$D54='W2'!$A$50,'W2'!K$50,IF('Subcontract 2'!$D54='W2'!$A$51,'W2'!K$51,IF('Subcontract 2'!$D54='W2'!$A$52,'W2'!K$52,IF('Subcontract 2'!$D54='W2'!$A$53,'W2'!K$53,IF('Subcontract 2'!$D54='W2'!$A$54,'W2'!K$54,IF('Subcontract 2'!$D54='W2'!$A$55,'W2'!K$55)))))))))),0))))))))</f>
        <v>0</v>
      </c>
      <c r="S54" s="187">
        <f t="shared" si="6"/>
        <v>0</v>
      </c>
      <c r="T54" s="248"/>
      <c r="U54" s="248"/>
      <c r="V54" s="248"/>
      <c r="W54" s="248"/>
      <c r="X54" s="248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</row>
    <row r="55" spans="1:51" hidden="1" x14ac:dyDescent="0.2">
      <c r="A55" s="92">
        <v>21</v>
      </c>
      <c r="B55" s="381">
        <f t="shared" si="4"/>
        <v>0</v>
      </c>
      <c r="C55" s="382"/>
      <c r="D55" s="199" t="s">
        <v>52</v>
      </c>
      <c r="E55" s="277" t="str">
        <f>IF($D55='W2'!$A$59,'W2'!B$59,IF($D55='W2'!$A$60,'W2'!B$60,IF($D55='W2'!$A$61,'W2'!B$61,IF($D55='W2'!$A$62,'W2'!B$62,IF($D55='W2'!$A$63,'W2'!B$63,IF($D55='W2'!$A$64,'W2'!B$64,IF($D55='W2'!$A$65,'W2'!B$65,IF($D55='W2'!$A$66,'W2'!B$66,IF($D55='W2'!$A$67,'W2'!B$67,IF($D55='W2'!$A$68,'W2'!B295,IF($D55='W2'!$A$69,'W2'!B295,IF($D55='W2'!$A$70,'W2'!B295,IF($D55='W2'!$A$71,"")))))))))))))</f>
        <v/>
      </c>
      <c r="F55" s="378" t="str">
        <f>IF($D55='W2'!$A$59,'W2'!C$59,IF($D55='W2'!$A$60,'W2'!C$60,IF($D55='W2'!$A$61,'W2'!C$61,IF($D55='W2'!$A$62,'W2'!C$62,IF($D55='W2'!$A$63,'W2'!C$63,IF($D55='W2'!$A$64,'W2'!C$64,IF($D55='W2'!$A$65,'W2'!C$65,IF($D55='W2'!$A$66,'W2'!C$66,IF($D55='W2'!$A$67,'W2'!C$67,IF($D55='W2'!$A$68,'W2'!D295,IF($D55='W2'!$A$69,'W2'!D295,IF($D55='W2'!$A$70,'W2'!D295,IF($D55='W2'!$A$71,"")))))))))))))</f>
        <v/>
      </c>
      <c r="G55" s="379"/>
      <c r="H55" s="366" t="str">
        <f>IF($D55='W2'!$A$59,'W2'!D$59,IF($D55='W2'!$A$60,'W2'!D$60,IF($D55='W2'!$A$61,'W2'!D$61,IF($D55='W2'!$A$62,'W2'!D$62,IF($D55='W2'!$A$63,'W2'!D$63,IF($D55='W2'!$A$64,'W2'!D$64,IF($D55='W2'!$A$65,'W2'!D$65,IF($D55='W2'!$A$66,'W2'!D$66,IF($D55='W2'!$A$67,'W2'!D$67,IF($D55='W2'!$A$68,'W2'!F295,IF($D55='W2'!$A$69,'W2'!F295,IF($D55='W2'!$A$70,'W2'!F295,IF($D55='W2'!$A$71,"")))))))))))))</f>
        <v/>
      </c>
      <c r="I55" s="367"/>
      <c r="J55" s="366" t="str">
        <f>IF($D55='W2'!$A$59,'W2'!E$59,IF($D55='W2'!$A$60,'W2'!E$60,IF($D55='W2'!$A$61,'W2'!E$61,IF($D55='W2'!$A$62,'W2'!E$62,IF($D55='W2'!$A$63,'W2'!E$63,IF($D55='W2'!$A$64,'W2'!E$64,IF($D55='W2'!$A$65,'W2'!E$65,IF($D55='W2'!$A$66,'W2'!E$66,IF($D55='W2'!$A$67,'W2'!E$67,IF($D55='W2'!$A$68,'W2'!H295,IF($D55='W2'!$A$69,'W2'!H295,IF($D55='W2'!$A$70,'W2'!H295,IF($D55='W2'!$A$71,"")))))))))))))</f>
        <v/>
      </c>
      <c r="K55" s="367"/>
      <c r="L55" s="366" t="str">
        <f>IF($D55='W2'!$A$59,'W2'!F$59,IF($D55='W2'!$A$60,'W2'!F$60,IF($D55='W2'!$A$61,'W2'!F$61,IF($D55='W2'!$A$62,'W2'!F$62,IF($D55='W2'!$A$63,'W2'!F$63,IF($D55='W2'!$A$64,'W2'!F$64,IF($D55='W2'!$A$65,'W2'!F$65,IF($D55='W2'!$A$66,'W2'!F$66,IF($D55='W2'!$A$67,'W2'!F$67,IF($D55='W2'!$A$68,'W2'!J295,IF($D55='W2'!$A$69,'W2'!J295,IF($D55='W2'!$A$70,'W2'!J295,IF($D55='W2'!$A$71,"")))))))))))))</f>
        <v/>
      </c>
      <c r="M55" s="367"/>
      <c r="N55" s="187">
        <f>IF(N28=0,0,IF(AND($D55="F-SMRA",N28=0),0,IF(AND($D55="F-SMRB",N28=0),0,IF(AND($D55="F-SMRC",N28=0),0,IF($D55='W2'!$A$68,'W2'!B321,IF($D55='W2'!$A$69,'W2'!B321,IF($D55='W2'!$A$70,'W2'!B321,ROUND(('Subcontract 2'!N28/'W2'!$C$5*'W2'!$C$9*(IF('Subcontract 2'!$D55='W2'!$A$47,'W2'!B$47,IF('Subcontract 2'!$D55='W2'!$A$48,'W2'!B$48,IF('Subcontract 2'!$D55='W2'!$A$49,'W2'!B$49,IF('Subcontract 2'!$D55='W2'!$A$50,'W2'!B$50,IF('Subcontract 2'!$D55='W2'!$A$51,'W2'!B$51,IF('Subcontract 2'!$D55='W2'!$A$52,'W2'!B$52,IF('Subcontract 2'!$D55='W2'!$A$53,'W2'!B$53,IF('Subcontract 2'!$D55='W2'!$A$54,'W2'!B$54,IF('Subcontract 2'!$D55='W2'!$A$55,'W2'!B$55))))))))))),0)+ROUND(N28/'W2'!$C$5*'W2'!$C$10*(IF('Subcontract 2'!$D55='W2'!$A$47,'W2'!C$47,IF('Subcontract 2'!$D55='W2'!$A$48,'W2'!C$48,IF('Subcontract 2'!$D55='W2'!$A$49,'W2'!C$49,IF('Subcontract 2'!$D55='W2'!$A$50,'W2'!C$50,IF('Subcontract 2'!$D55='W2'!$A$51,'W2'!C$51,IF('Subcontract 2'!$D55='W2'!$A$52,'W2'!C$52,IF('Subcontract 2'!$D55='W2'!$A$53,'W2'!C$53,IF('Subcontract 2'!$D55='W2'!$A$54,'W2'!C$54,IF('Subcontract 2'!$D55='W2'!$A$55,'W2'!C$55)))))))))),0))))))))</f>
        <v>0</v>
      </c>
      <c r="O55" s="187">
        <f>IF(O28=0,0,IF(AND($D55="F-SMRA",O28=0),0,IF(AND($D55="F-SMRB",O28=0),0,IF(AND($D55="F-SMRC",O28=0),0,IF($D55='W2'!$A$68,'W2'!D321,IF($D55='W2'!$A$69,'W2'!D321,IF($D55='W2'!$A$70,'W2'!D321,ROUND(('Subcontract 2'!O28/'W2'!$D$5*'W2'!$D$9*(IF('Subcontract 2'!$D55='W2'!$A$47,'W2'!D$47,IF('Subcontract 2'!$D55='W2'!$A$48,'W2'!D$48,IF('Subcontract 2'!$D55='W2'!$A$49,'W2'!D$49,IF('Subcontract 2'!$D55='W2'!$A$50,'W2'!D$50,IF('Subcontract 2'!$D55='W2'!$A$51,'W2'!D$51,IF('Subcontract 2'!$D55='W2'!$A$52,'W2'!D$52,IF('Subcontract 2'!$D55='W2'!$A$53,'W2'!D$53,IF('Subcontract 2'!$D55='W2'!$A$54,'W2'!D$54,IF('Subcontract 2'!$D55='W2'!$A$55,'W2'!D$55))))))))))),0)+ROUND(O28/'W2'!$D$5*'W2'!$D$10*(IF('Subcontract 2'!$D55='W2'!$A$47,'W2'!E$47,IF('Subcontract 2'!$D55='W2'!$A$48,'W2'!E$48,IF('Subcontract 2'!$D55='W2'!$A$49,'W2'!E$49,IF('Subcontract 2'!$D55='W2'!$A$50,'W2'!E$50,IF('Subcontract 2'!$D55='W2'!$A$51,'W2'!E$51,IF('Subcontract 2'!$D55='W2'!$A$52,'W2'!E$52,IF('Subcontract 2'!$D55='W2'!$A$53,'W2'!E$53,IF('Subcontract 2'!$D55='W2'!$A$54,'W2'!E$54,IF('Subcontract 2'!$D55='W2'!$A$55,'W2'!E$55)))))))))),0))))))))</f>
        <v>0</v>
      </c>
      <c r="P55" s="187">
        <f>IF(P28=0,0,IF(AND($D55="F-SMRA",P28=0),0,IF(AND($D55="F-SMRB",P28=0),0,IF(AND($D55="F-SMRC",P28=0),0,IF($D55='W2'!$A$68,'W2'!F321,IF($D55='W2'!$A$69,'W2'!F321,IF($D55='W2'!$A$70,'W2'!F321,ROUND(('Subcontract 2'!P28/'W2'!$E$5*'W2'!$E$9*(IF('Subcontract 2'!$D55='W2'!$A$47,'W2'!F$47,IF('Subcontract 2'!$D55='W2'!$A$48,'W2'!F$48,IF('Subcontract 2'!$D55='W2'!$A$49,'W2'!F$49,IF('Subcontract 2'!$D55='W2'!$A$50,'W2'!F$50,IF('Subcontract 2'!$D55='W2'!$A$51,'W2'!F$51,IF('Subcontract 2'!$D55='W2'!$A$52,'W2'!F$52,IF('Subcontract 2'!$D55='W2'!$A$53,'W2'!F$53,IF('Subcontract 2'!$D55='W2'!$A$54,'W2'!F$54,IF('Subcontract 2'!$D55='W2'!$A$55,'W2'!F$55))))))))))),0)+ROUND(P28/'W2'!$E$5*'W2'!$E$10*(IF('Subcontract 2'!$D55='W2'!$A$47,'W2'!G$47,IF('Subcontract 2'!$D55='W2'!$A$48,'W2'!G$48,IF('Subcontract 2'!$D55='W2'!$A$49,'W2'!G$49,IF('Subcontract 2'!$D55='W2'!$A$50,'W2'!G$50,IF('Subcontract 2'!$D55='W2'!$A$51,'W2'!G$51,IF('Subcontract 2'!$D55='W2'!$A$52,'W2'!G$52,IF('Subcontract 2'!$D55='W2'!$A$53,'W2'!G$53,IF('Subcontract 2'!$D55='W2'!$A$54,'W2'!G$54,IF('Subcontract 2'!$D55='W2'!$A$55,'W2'!G$55)))))))))),0))))))))</f>
        <v>0</v>
      </c>
      <c r="Q55" s="187">
        <f>IF(Q28=0,0,IF(AND($D55="F-SMRA",Q28=0),0,IF(AND($D55="F-SMRB",Q28=0),0,IF(AND($D55="F-SMRC",Q28=0),0,IF($D55='W2'!$A$68,'W2'!H321,IF($D55='W2'!$A$69,'W2'!H321,IF($D55='W2'!$A$70,'W2'!H321,ROUND(('Subcontract 2'!Q28/'W2'!$F$5*'W2'!$F$9*(IF('Subcontract 2'!$D55='W2'!$A$47,'W2'!H$47,IF('Subcontract 2'!$D55='W2'!$A$48,'W2'!H$48,IF('Subcontract 2'!$D55='W2'!$A$49,'W2'!H$49,IF('Subcontract 2'!$D55='W2'!$A$50,'W2'!H$50,IF('Subcontract 2'!$D55='W2'!$A$51,'W2'!H$51,IF('Subcontract 2'!$D55='W2'!$A$52,'W2'!H$52,IF('Subcontract 2'!$D55='W2'!$A$53,'W2'!H$53,IF('Subcontract 2'!$D55='W2'!$A$54,'W2'!H$54,IF('Subcontract 2'!$D55='W2'!$A$55,'W2'!H$55))))))))))),0)+ROUND(Q28/'W2'!$F$5*'W2'!$F$10*(IF('Subcontract 2'!$D55='W2'!$A$47,'W2'!I$47,IF('Subcontract 2'!$D55='W2'!$A$48,'W2'!I$48,IF('Subcontract 2'!$D55='W2'!$A$49,'W2'!I$49,IF('Subcontract 2'!$D55='W2'!$A$50,'W2'!I$50,IF('Subcontract 2'!$D55='W2'!$A$51,'W2'!I$51,IF('Subcontract 2'!$D55='W2'!$A$52,'W2'!I$52,IF('Subcontract 2'!$D55='W2'!$A$53,'W2'!I$53,IF('Subcontract 2'!$D55='W2'!$A$54,'W2'!I$54,IF('Subcontract 2'!$D55='W2'!$A$55,'W2'!I$55)))))))))),0))))))))</f>
        <v>0</v>
      </c>
      <c r="R55" s="187">
        <f>IF(R28=0,0,IF(AND($D55="F-SMRA",R28=0),0,IF(AND($D55="F-SMRB",R28=0),0,IF(AND($D55="F-SMRC",R28=0),0,IF($D55='W2'!$A$68,'W2'!J321,IF($D55='W2'!$A$69,'W2'!J321,IF($D55='W2'!$A$70,'W2'!J321,ROUND(('Subcontract 2'!R28/'W2'!$G$5*'W2'!$G$9*(IF('Subcontract 2'!$D55='W2'!$A$47,'W2'!J$47,IF('Subcontract 2'!$D55='W2'!$A$48,'W2'!J$48,IF('Subcontract 2'!$D55='W2'!$A$49,'W2'!J$49,IF('Subcontract 2'!$D55='W2'!$A$50,'W2'!J$50,IF('Subcontract 2'!$D55='W2'!$A$51,'W2'!J$51,IF('Subcontract 2'!$D55='W2'!$A$52,'W2'!J$52,IF('Subcontract 2'!$D55='W2'!$A$53,'W2'!J$53,IF('Subcontract 2'!$D55='W2'!$A$54,'W2'!J$54,IF('Subcontract 2'!$D55='W2'!$A$55,'W2'!J$55))))))))))),0)+ROUND(R28/'W2'!$G$5*'W2'!$G$10*(IF('Subcontract 2'!$D55='W2'!$A$47,'W2'!K$47,IF('Subcontract 2'!$D55='W2'!$A$48,'W2'!K$48,IF('Subcontract 2'!$D55='W2'!$A$49,'W2'!K$49,IF('Subcontract 2'!$D55='W2'!$A$50,'W2'!K$50,IF('Subcontract 2'!$D55='W2'!$A$51,'W2'!K$51,IF('Subcontract 2'!$D55='W2'!$A$52,'W2'!K$52,IF('Subcontract 2'!$D55='W2'!$A$53,'W2'!K$53,IF('Subcontract 2'!$D55='W2'!$A$54,'W2'!K$54,IF('Subcontract 2'!$D55='W2'!$A$55,'W2'!K$55)))))))))),0))))))))</f>
        <v>0</v>
      </c>
      <c r="S55" s="187">
        <f t="shared" si="6"/>
        <v>0</v>
      </c>
      <c r="T55" s="248"/>
      <c r="U55" s="248"/>
      <c r="V55" s="248"/>
      <c r="W55" s="248"/>
      <c r="X55" s="248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</row>
    <row r="56" spans="1:51" hidden="1" x14ac:dyDescent="0.2">
      <c r="A56" s="92">
        <v>22</v>
      </c>
      <c r="B56" s="381">
        <f t="shared" si="4"/>
        <v>0</v>
      </c>
      <c r="C56" s="382"/>
      <c r="D56" s="199" t="s">
        <v>52</v>
      </c>
      <c r="E56" s="277" t="str">
        <f>IF($D56='W2'!$A$59,'W2'!B$59,IF($D56='W2'!$A$60,'W2'!B$60,IF($D56='W2'!$A$61,'W2'!B$61,IF($D56='W2'!$A$62,'W2'!B$62,IF($D56='W2'!$A$63,'W2'!B$63,IF($D56='W2'!$A$64,'W2'!B$64,IF($D56='W2'!$A$65,'W2'!B$65,IF($D56='W2'!$A$66,'W2'!B$66,IF($D56='W2'!$A$67,'W2'!B$67,IF($D56='W2'!$A$68,'W2'!B296,IF($D56='W2'!$A$69,'W2'!B296,IF($D56='W2'!$A$70,'W2'!B296,IF($D56='W2'!$A$71,"")))))))))))))</f>
        <v/>
      </c>
      <c r="F56" s="378" t="str">
        <f>IF($D56='W2'!$A$59,'W2'!C$59,IF($D56='W2'!$A$60,'W2'!C$60,IF($D56='W2'!$A$61,'W2'!C$61,IF($D56='W2'!$A$62,'W2'!C$62,IF($D56='W2'!$A$63,'W2'!C$63,IF($D56='W2'!$A$64,'W2'!C$64,IF($D56='W2'!$A$65,'W2'!C$65,IF($D56='W2'!$A$66,'W2'!C$66,IF($D56='W2'!$A$67,'W2'!C$67,IF($D56='W2'!$A$68,'W2'!D296,IF($D56='W2'!$A$69,'W2'!D296,IF($D56='W2'!$A$70,'W2'!D296,IF($D56='W2'!$A$71,"")))))))))))))</f>
        <v/>
      </c>
      <c r="G56" s="379"/>
      <c r="H56" s="366" t="str">
        <f>IF($D56='W2'!$A$59,'W2'!D$59,IF($D56='W2'!$A$60,'W2'!D$60,IF($D56='W2'!$A$61,'W2'!D$61,IF($D56='W2'!$A$62,'W2'!D$62,IF($D56='W2'!$A$63,'W2'!D$63,IF($D56='W2'!$A$64,'W2'!D$64,IF($D56='W2'!$A$65,'W2'!D$65,IF($D56='W2'!$A$66,'W2'!D$66,IF($D56='W2'!$A$67,'W2'!D$67,IF($D56='W2'!$A$68,'W2'!F296,IF($D56='W2'!$A$69,'W2'!F296,IF($D56='W2'!$A$70,'W2'!F296,IF($D56='W2'!$A$71,"")))))))))))))</f>
        <v/>
      </c>
      <c r="I56" s="367"/>
      <c r="J56" s="366" t="str">
        <f>IF($D56='W2'!$A$59,'W2'!E$59,IF($D56='W2'!$A$60,'W2'!E$60,IF($D56='W2'!$A$61,'W2'!E$61,IF($D56='W2'!$A$62,'W2'!E$62,IF($D56='W2'!$A$63,'W2'!E$63,IF($D56='W2'!$A$64,'W2'!E$64,IF($D56='W2'!$A$65,'W2'!E$65,IF($D56='W2'!$A$66,'W2'!E$66,IF($D56='W2'!$A$67,'W2'!E$67,IF($D56='W2'!$A$68,'W2'!H296,IF($D56='W2'!$A$69,'W2'!H296,IF($D56='W2'!$A$70,'W2'!H296,IF($D56='W2'!$A$71,"")))))))))))))</f>
        <v/>
      </c>
      <c r="K56" s="367"/>
      <c r="L56" s="366" t="str">
        <f>IF($D56='W2'!$A$59,'W2'!F$59,IF($D56='W2'!$A$60,'W2'!F$60,IF($D56='W2'!$A$61,'W2'!F$61,IF($D56='W2'!$A$62,'W2'!F$62,IF($D56='W2'!$A$63,'W2'!F$63,IF($D56='W2'!$A$64,'W2'!F$64,IF($D56='W2'!$A$65,'W2'!F$65,IF($D56='W2'!$A$66,'W2'!F$66,IF($D56='W2'!$A$67,'W2'!F$67,IF($D56='W2'!$A$68,'W2'!J296,IF($D56='W2'!$A$69,'W2'!J296,IF($D56='W2'!$A$70,'W2'!J296,IF($D56='W2'!$A$71,"")))))))))))))</f>
        <v/>
      </c>
      <c r="M56" s="367"/>
      <c r="N56" s="187">
        <f>IF(N29=0,0,IF(AND($D56="F-SMRA",N29=0),0,IF(AND($D56="F-SMRB",N29=0),0,IF(AND($D56="F-SMRC",N29=0),0,IF($D56='W2'!$A$68,'W2'!B322,IF($D56='W2'!$A$69,'W2'!B322,IF($D56='W2'!$A$70,'W2'!B322,ROUND(('Subcontract 2'!N29/'W2'!$C$5*'W2'!$C$9*(IF('Subcontract 2'!$D56='W2'!$A$47,'W2'!B$47,IF('Subcontract 2'!$D56='W2'!$A$48,'W2'!B$48,IF('Subcontract 2'!$D56='W2'!$A$49,'W2'!B$49,IF('Subcontract 2'!$D56='W2'!$A$50,'W2'!B$50,IF('Subcontract 2'!$D56='W2'!$A$51,'W2'!B$51,IF('Subcontract 2'!$D56='W2'!$A$52,'W2'!B$52,IF('Subcontract 2'!$D56='W2'!$A$53,'W2'!B$53,IF('Subcontract 2'!$D56='W2'!$A$54,'W2'!B$54,IF('Subcontract 2'!$D56='W2'!$A$55,'W2'!B$55))))))))))),0)+ROUND(N29/'W2'!$C$5*'W2'!$C$10*(IF('Subcontract 2'!$D56='W2'!$A$47,'W2'!C$47,IF('Subcontract 2'!$D56='W2'!$A$48,'W2'!C$48,IF('Subcontract 2'!$D56='W2'!$A$49,'W2'!C$49,IF('Subcontract 2'!$D56='W2'!$A$50,'W2'!C$50,IF('Subcontract 2'!$D56='W2'!$A$51,'W2'!C$51,IF('Subcontract 2'!$D56='W2'!$A$52,'W2'!C$52,IF('Subcontract 2'!$D56='W2'!$A$53,'W2'!C$53,IF('Subcontract 2'!$D56='W2'!$A$54,'W2'!C$54,IF('Subcontract 2'!$D56='W2'!$A$55,'W2'!C$55)))))))))),0))))))))</f>
        <v>0</v>
      </c>
      <c r="O56" s="187">
        <f>IF(O29=0,0,IF(AND($D56="F-SMRA",O29=0),0,IF(AND($D56="F-SMRB",O29=0),0,IF(AND($D56="F-SMRC",O29=0),0,IF($D56='W2'!$A$68,'W2'!D322,IF($D56='W2'!$A$69,'W2'!D322,IF($D56='W2'!$A$70,'W2'!D322,ROUND(('Subcontract 2'!O29/'W2'!$D$5*'W2'!$D$9*(IF('Subcontract 2'!$D56='W2'!$A$47,'W2'!D$47,IF('Subcontract 2'!$D56='W2'!$A$48,'W2'!D$48,IF('Subcontract 2'!$D56='W2'!$A$49,'W2'!D$49,IF('Subcontract 2'!$D56='W2'!$A$50,'W2'!D$50,IF('Subcontract 2'!$D56='W2'!$A$51,'W2'!D$51,IF('Subcontract 2'!$D56='W2'!$A$52,'W2'!D$52,IF('Subcontract 2'!$D56='W2'!$A$53,'W2'!D$53,IF('Subcontract 2'!$D56='W2'!$A$54,'W2'!D$54,IF('Subcontract 2'!$D56='W2'!$A$55,'W2'!D$55))))))))))),0)+ROUND(O29/'W2'!$D$5*'W2'!$D$10*(IF('Subcontract 2'!$D56='W2'!$A$47,'W2'!E$47,IF('Subcontract 2'!$D56='W2'!$A$48,'W2'!E$48,IF('Subcontract 2'!$D56='W2'!$A$49,'W2'!E$49,IF('Subcontract 2'!$D56='W2'!$A$50,'W2'!E$50,IF('Subcontract 2'!$D56='W2'!$A$51,'W2'!E$51,IF('Subcontract 2'!$D56='W2'!$A$52,'W2'!E$52,IF('Subcontract 2'!$D56='W2'!$A$53,'W2'!E$53,IF('Subcontract 2'!$D56='W2'!$A$54,'W2'!E$54,IF('Subcontract 2'!$D56='W2'!$A$55,'W2'!E$55)))))))))),0))))))))</f>
        <v>0</v>
      </c>
      <c r="P56" s="187">
        <f>IF(P29=0,0,IF(AND($D56="F-SMRA",P29=0),0,IF(AND($D56="F-SMRB",P29=0),0,IF(AND($D56="F-SMRC",P29=0),0,IF($D56='W2'!$A$68,'W2'!F322,IF($D56='W2'!$A$69,'W2'!F322,IF($D56='W2'!$A$70,'W2'!F322,ROUND(('Subcontract 2'!P29/'W2'!$E$5*'W2'!$E$9*(IF('Subcontract 2'!$D56='W2'!$A$47,'W2'!F$47,IF('Subcontract 2'!$D56='W2'!$A$48,'W2'!F$48,IF('Subcontract 2'!$D56='W2'!$A$49,'W2'!F$49,IF('Subcontract 2'!$D56='W2'!$A$50,'W2'!F$50,IF('Subcontract 2'!$D56='W2'!$A$51,'W2'!F$51,IF('Subcontract 2'!$D56='W2'!$A$52,'W2'!F$52,IF('Subcontract 2'!$D56='W2'!$A$53,'W2'!F$53,IF('Subcontract 2'!$D56='W2'!$A$54,'W2'!F$54,IF('Subcontract 2'!$D56='W2'!$A$55,'W2'!F$55))))))))))),0)+ROUND(P29/'W2'!$E$5*'W2'!$E$10*(IF('Subcontract 2'!$D56='W2'!$A$47,'W2'!G$47,IF('Subcontract 2'!$D56='W2'!$A$48,'W2'!G$48,IF('Subcontract 2'!$D56='W2'!$A$49,'W2'!G$49,IF('Subcontract 2'!$D56='W2'!$A$50,'W2'!G$50,IF('Subcontract 2'!$D56='W2'!$A$51,'W2'!G$51,IF('Subcontract 2'!$D56='W2'!$A$52,'W2'!G$52,IF('Subcontract 2'!$D56='W2'!$A$53,'W2'!G$53,IF('Subcontract 2'!$D56='W2'!$A$54,'W2'!G$54,IF('Subcontract 2'!$D56='W2'!$A$55,'W2'!G$55)))))))))),0))))))))</f>
        <v>0</v>
      </c>
      <c r="Q56" s="187">
        <f>IF(Q29=0,0,IF(AND($D56="F-SMRA",Q29=0),0,IF(AND($D56="F-SMRB",Q29=0),0,IF(AND($D56="F-SMRC",Q29=0),0,IF($D56='W2'!$A$68,'W2'!H322,IF($D56='W2'!$A$69,'W2'!H322,IF($D56='W2'!$A$70,'W2'!H322,ROUND(('Subcontract 2'!Q29/'W2'!$F$5*'W2'!$F$9*(IF('Subcontract 2'!$D56='W2'!$A$47,'W2'!H$47,IF('Subcontract 2'!$D56='W2'!$A$48,'W2'!H$48,IF('Subcontract 2'!$D56='W2'!$A$49,'W2'!H$49,IF('Subcontract 2'!$D56='W2'!$A$50,'W2'!H$50,IF('Subcontract 2'!$D56='W2'!$A$51,'W2'!H$51,IF('Subcontract 2'!$D56='W2'!$A$52,'W2'!H$52,IF('Subcontract 2'!$D56='W2'!$A$53,'W2'!H$53,IF('Subcontract 2'!$D56='W2'!$A$54,'W2'!H$54,IF('Subcontract 2'!$D56='W2'!$A$55,'W2'!H$55))))))))))),0)+ROUND(Q29/'W2'!$F$5*'W2'!$F$10*(IF('Subcontract 2'!$D56='W2'!$A$47,'W2'!I$47,IF('Subcontract 2'!$D56='W2'!$A$48,'W2'!I$48,IF('Subcontract 2'!$D56='W2'!$A$49,'W2'!I$49,IF('Subcontract 2'!$D56='W2'!$A$50,'W2'!I$50,IF('Subcontract 2'!$D56='W2'!$A$51,'W2'!I$51,IF('Subcontract 2'!$D56='W2'!$A$52,'W2'!I$52,IF('Subcontract 2'!$D56='W2'!$A$53,'W2'!I$53,IF('Subcontract 2'!$D56='W2'!$A$54,'W2'!I$54,IF('Subcontract 2'!$D56='W2'!$A$55,'W2'!I$55)))))))))),0))))))))</f>
        <v>0</v>
      </c>
      <c r="R56" s="187">
        <f>IF(R29=0,0,IF(AND($D56="F-SMRA",R29=0),0,IF(AND($D56="F-SMRB",R29=0),0,IF(AND($D56="F-SMRC",R29=0),0,IF($D56='W2'!$A$68,'W2'!J322,IF($D56='W2'!$A$69,'W2'!J322,IF($D56='W2'!$A$70,'W2'!J322,ROUND(('Subcontract 2'!R29/'W2'!$G$5*'W2'!$G$9*(IF('Subcontract 2'!$D56='W2'!$A$47,'W2'!J$47,IF('Subcontract 2'!$D56='W2'!$A$48,'W2'!J$48,IF('Subcontract 2'!$D56='W2'!$A$49,'W2'!J$49,IF('Subcontract 2'!$D56='W2'!$A$50,'W2'!J$50,IF('Subcontract 2'!$D56='W2'!$A$51,'W2'!J$51,IF('Subcontract 2'!$D56='W2'!$A$52,'W2'!J$52,IF('Subcontract 2'!$D56='W2'!$A$53,'W2'!J$53,IF('Subcontract 2'!$D56='W2'!$A$54,'W2'!J$54,IF('Subcontract 2'!$D56='W2'!$A$55,'W2'!J$55))))))))))),0)+ROUND(R29/'W2'!$G$5*'W2'!$G$10*(IF('Subcontract 2'!$D56='W2'!$A$47,'W2'!K$47,IF('Subcontract 2'!$D56='W2'!$A$48,'W2'!K$48,IF('Subcontract 2'!$D56='W2'!$A$49,'W2'!K$49,IF('Subcontract 2'!$D56='W2'!$A$50,'W2'!K$50,IF('Subcontract 2'!$D56='W2'!$A$51,'W2'!K$51,IF('Subcontract 2'!$D56='W2'!$A$52,'W2'!K$52,IF('Subcontract 2'!$D56='W2'!$A$53,'W2'!K$53,IF('Subcontract 2'!$D56='W2'!$A$54,'W2'!K$54,IF('Subcontract 2'!$D56='W2'!$A$55,'W2'!K$55)))))))))),0))))))))</f>
        <v>0</v>
      </c>
      <c r="S56" s="187">
        <f t="shared" si="6"/>
        <v>0</v>
      </c>
      <c r="T56" s="248"/>
      <c r="U56" s="248"/>
      <c r="V56" s="248"/>
      <c r="W56" s="248"/>
      <c r="X56" s="248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</row>
    <row r="57" spans="1:51" hidden="1" x14ac:dyDescent="0.2">
      <c r="A57" s="92">
        <v>23</v>
      </c>
      <c r="B57" s="381">
        <f t="shared" si="4"/>
        <v>0</v>
      </c>
      <c r="C57" s="382"/>
      <c r="D57" s="199" t="s">
        <v>52</v>
      </c>
      <c r="E57" s="277" t="str">
        <f>IF($D57='W2'!$A$59,'W2'!B$59,IF($D57='W2'!$A$60,'W2'!B$60,IF($D57='W2'!$A$61,'W2'!B$61,IF($D57='W2'!$A$62,'W2'!B$62,IF($D57='W2'!$A$63,'W2'!B$63,IF($D57='W2'!$A$64,'W2'!B$64,IF($D57='W2'!$A$65,'W2'!B$65,IF($D57='W2'!$A$66,'W2'!B$66,IF($D57='W2'!$A$67,'W2'!B$67,IF($D57='W2'!$A$68,'W2'!B297,IF($D57='W2'!$A$69,'W2'!B297,IF($D57='W2'!$A$70,'W2'!B297,IF($D57='W2'!$A$71,"")))))))))))))</f>
        <v/>
      </c>
      <c r="F57" s="378" t="str">
        <f>IF($D57='W2'!$A$59,'W2'!C$59,IF($D57='W2'!$A$60,'W2'!C$60,IF($D57='W2'!$A$61,'W2'!C$61,IF($D57='W2'!$A$62,'W2'!C$62,IF($D57='W2'!$A$63,'W2'!C$63,IF($D57='W2'!$A$64,'W2'!C$64,IF($D57='W2'!$A$65,'W2'!C$65,IF($D57='W2'!$A$66,'W2'!C$66,IF($D57='W2'!$A$67,'W2'!C$67,IF($D57='W2'!$A$68,'W2'!D297,IF($D57='W2'!$A$69,'W2'!D297,IF($D57='W2'!$A$70,'W2'!D297,IF($D57='W2'!$A$71,"")))))))))))))</f>
        <v/>
      </c>
      <c r="G57" s="379"/>
      <c r="H57" s="366" t="str">
        <f>IF($D57='W2'!$A$59,'W2'!D$59,IF($D57='W2'!$A$60,'W2'!D$60,IF($D57='W2'!$A$61,'W2'!D$61,IF($D57='W2'!$A$62,'W2'!D$62,IF($D57='W2'!$A$63,'W2'!D$63,IF($D57='W2'!$A$64,'W2'!D$64,IF($D57='W2'!$A$65,'W2'!D$65,IF($D57='W2'!$A$66,'W2'!D$66,IF($D57='W2'!$A$67,'W2'!D$67,IF($D57='W2'!$A$68,'W2'!F297,IF($D57='W2'!$A$69,'W2'!F297,IF($D57='W2'!$A$70,'W2'!F297,IF($D57='W2'!$A$71,"")))))))))))))</f>
        <v/>
      </c>
      <c r="I57" s="367"/>
      <c r="J57" s="366" t="str">
        <f>IF($D57='W2'!$A$59,'W2'!E$59,IF($D57='W2'!$A$60,'W2'!E$60,IF($D57='W2'!$A$61,'W2'!E$61,IF($D57='W2'!$A$62,'W2'!E$62,IF($D57='W2'!$A$63,'W2'!E$63,IF($D57='W2'!$A$64,'W2'!E$64,IF($D57='W2'!$A$65,'W2'!E$65,IF($D57='W2'!$A$66,'W2'!E$66,IF($D57='W2'!$A$67,'W2'!E$67,IF($D57='W2'!$A$68,'W2'!H297,IF($D57='W2'!$A$69,'W2'!H297,IF($D57='W2'!$A$70,'W2'!H297,IF($D57='W2'!$A$71,"")))))))))))))</f>
        <v/>
      </c>
      <c r="K57" s="367"/>
      <c r="L57" s="366" t="str">
        <f>IF($D57='W2'!$A$59,'W2'!F$59,IF($D57='W2'!$A$60,'W2'!F$60,IF($D57='W2'!$A$61,'W2'!F$61,IF($D57='W2'!$A$62,'W2'!F$62,IF($D57='W2'!$A$63,'W2'!F$63,IF($D57='W2'!$A$64,'W2'!F$64,IF($D57='W2'!$A$65,'W2'!F$65,IF($D57='W2'!$A$66,'W2'!F$66,IF($D57='W2'!$A$67,'W2'!F$67,IF($D57='W2'!$A$68,'W2'!J297,IF($D57='W2'!$A$69,'W2'!J297,IF($D57='W2'!$A$70,'W2'!J297,IF($D57='W2'!$A$71,"")))))))))))))</f>
        <v/>
      </c>
      <c r="M57" s="367"/>
      <c r="N57" s="187">
        <f>IF(N30=0,0,IF(AND($D57="F-SMRA",N30=0),0,IF(AND($D57="F-SMRB",N30=0),0,IF(AND($D57="F-SMRC",N30=0),0,IF($D57='W2'!$A$68,'W2'!B323,IF($D57='W2'!$A$69,'W2'!B323,IF($D57='W2'!$A$70,'W2'!B323,ROUND(('Subcontract 2'!N30/'W2'!$C$5*'W2'!$C$9*(IF('Subcontract 2'!$D57='W2'!$A$47,'W2'!B$47,IF('Subcontract 2'!$D57='W2'!$A$48,'W2'!B$48,IF('Subcontract 2'!$D57='W2'!$A$49,'W2'!B$49,IF('Subcontract 2'!$D57='W2'!$A$50,'W2'!B$50,IF('Subcontract 2'!$D57='W2'!$A$51,'W2'!B$51,IF('Subcontract 2'!$D57='W2'!$A$52,'W2'!B$52,IF('Subcontract 2'!$D57='W2'!$A$53,'W2'!B$53,IF('Subcontract 2'!$D57='W2'!$A$54,'W2'!B$54,IF('Subcontract 2'!$D57='W2'!$A$55,'W2'!B$55))))))))))),0)+ROUND(N30/'W2'!$C$5*'W2'!$C$10*(IF('Subcontract 2'!$D57='W2'!$A$47,'W2'!C$47,IF('Subcontract 2'!$D57='W2'!$A$48,'W2'!C$48,IF('Subcontract 2'!$D57='W2'!$A$49,'W2'!C$49,IF('Subcontract 2'!$D57='W2'!$A$50,'W2'!C$50,IF('Subcontract 2'!$D57='W2'!$A$51,'W2'!C$51,IF('Subcontract 2'!$D57='W2'!$A$52,'W2'!C$52,IF('Subcontract 2'!$D57='W2'!$A$53,'W2'!C$53,IF('Subcontract 2'!$D57='W2'!$A$54,'W2'!C$54,IF('Subcontract 2'!$D57='W2'!$A$55,'W2'!C$55)))))))))),0))))))))</f>
        <v>0</v>
      </c>
      <c r="O57" s="187">
        <f>IF(O30=0,0,IF(AND($D57="F-SMRA",O30=0),0,IF(AND($D57="F-SMRB",O30=0),0,IF(AND($D57="F-SMRC",O30=0),0,IF($D57='W2'!$A$68,'W2'!D323,IF($D57='W2'!$A$69,'W2'!D323,IF($D57='W2'!$A$70,'W2'!D323,ROUND(('Subcontract 2'!O30/'W2'!$D$5*'W2'!$D$9*(IF('Subcontract 2'!$D57='W2'!$A$47,'W2'!D$47,IF('Subcontract 2'!$D57='W2'!$A$48,'W2'!D$48,IF('Subcontract 2'!$D57='W2'!$A$49,'W2'!D$49,IF('Subcontract 2'!$D57='W2'!$A$50,'W2'!D$50,IF('Subcontract 2'!$D57='W2'!$A$51,'W2'!D$51,IF('Subcontract 2'!$D57='W2'!$A$52,'W2'!D$52,IF('Subcontract 2'!$D57='W2'!$A$53,'W2'!D$53,IF('Subcontract 2'!$D57='W2'!$A$54,'W2'!D$54,IF('Subcontract 2'!$D57='W2'!$A$55,'W2'!D$55))))))))))),0)+ROUND(O30/'W2'!$D$5*'W2'!$D$10*(IF('Subcontract 2'!$D57='W2'!$A$47,'W2'!E$47,IF('Subcontract 2'!$D57='W2'!$A$48,'W2'!E$48,IF('Subcontract 2'!$D57='W2'!$A$49,'W2'!E$49,IF('Subcontract 2'!$D57='W2'!$A$50,'W2'!E$50,IF('Subcontract 2'!$D57='W2'!$A$51,'W2'!E$51,IF('Subcontract 2'!$D57='W2'!$A$52,'W2'!E$52,IF('Subcontract 2'!$D57='W2'!$A$53,'W2'!E$53,IF('Subcontract 2'!$D57='W2'!$A$54,'W2'!E$54,IF('Subcontract 2'!$D57='W2'!$A$55,'W2'!E$55)))))))))),0))))))))</f>
        <v>0</v>
      </c>
      <c r="P57" s="187">
        <f>IF(P30=0,0,IF(AND($D57="F-SMRA",P30=0),0,IF(AND($D57="F-SMRB",P30=0),0,IF(AND($D57="F-SMRC",P30=0),0,IF($D57='W2'!$A$68,'W2'!F323,IF($D57='W2'!$A$69,'W2'!F323,IF($D57='W2'!$A$70,'W2'!F323,ROUND(('Subcontract 2'!P30/'W2'!$E$5*'W2'!$E$9*(IF('Subcontract 2'!$D57='W2'!$A$47,'W2'!F$47,IF('Subcontract 2'!$D57='W2'!$A$48,'W2'!F$48,IF('Subcontract 2'!$D57='W2'!$A$49,'W2'!F$49,IF('Subcontract 2'!$D57='W2'!$A$50,'W2'!F$50,IF('Subcontract 2'!$D57='W2'!$A$51,'W2'!F$51,IF('Subcontract 2'!$D57='W2'!$A$52,'W2'!F$52,IF('Subcontract 2'!$D57='W2'!$A$53,'W2'!F$53,IF('Subcontract 2'!$D57='W2'!$A$54,'W2'!F$54,IF('Subcontract 2'!$D57='W2'!$A$55,'W2'!F$55))))))))))),0)+ROUND(P30/'W2'!$E$5*'W2'!$E$10*(IF('Subcontract 2'!$D57='W2'!$A$47,'W2'!G$47,IF('Subcontract 2'!$D57='W2'!$A$48,'W2'!G$48,IF('Subcontract 2'!$D57='W2'!$A$49,'W2'!G$49,IF('Subcontract 2'!$D57='W2'!$A$50,'W2'!G$50,IF('Subcontract 2'!$D57='W2'!$A$51,'W2'!G$51,IF('Subcontract 2'!$D57='W2'!$A$52,'W2'!G$52,IF('Subcontract 2'!$D57='W2'!$A$53,'W2'!G$53,IF('Subcontract 2'!$D57='W2'!$A$54,'W2'!G$54,IF('Subcontract 2'!$D57='W2'!$A$55,'W2'!G$55)))))))))),0))))))))</f>
        <v>0</v>
      </c>
      <c r="Q57" s="187">
        <f>IF(Q30=0,0,IF(AND($D57="F-SMRA",Q30=0),0,IF(AND($D57="F-SMRB",Q30=0),0,IF(AND($D57="F-SMRC",Q30=0),0,IF($D57='W2'!$A$68,'W2'!H323,IF($D57='W2'!$A$69,'W2'!H323,IF($D57='W2'!$A$70,'W2'!H323,ROUND(('Subcontract 2'!Q30/'W2'!$F$5*'W2'!$F$9*(IF('Subcontract 2'!$D57='W2'!$A$47,'W2'!H$47,IF('Subcontract 2'!$D57='W2'!$A$48,'W2'!H$48,IF('Subcontract 2'!$D57='W2'!$A$49,'W2'!H$49,IF('Subcontract 2'!$D57='W2'!$A$50,'W2'!H$50,IF('Subcontract 2'!$D57='W2'!$A$51,'W2'!H$51,IF('Subcontract 2'!$D57='W2'!$A$52,'W2'!H$52,IF('Subcontract 2'!$D57='W2'!$A$53,'W2'!H$53,IF('Subcontract 2'!$D57='W2'!$A$54,'W2'!H$54,IF('Subcontract 2'!$D57='W2'!$A$55,'W2'!H$55))))))))))),0)+ROUND(Q30/'W2'!$F$5*'W2'!$F$10*(IF('Subcontract 2'!$D57='W2'!$A$47,'W2'!I$47,IF('Subcontract 2'!$D57='W2'!$A$48,'W2'!I$48,IF('Subcontract 2'!$D57='W2'!$A$49,'W2'!I$49,IF('Subcontract 2'!$D57='W2'!$A$50,'W2'!I$50,IF('Subcontract 2'!$D57='W2'!$A$51,'W2'!I$51,IF('Subcontract 2'!$D57='W2'!$A$52,'W2'!I$52,IF('Subcontract 2'!$D57='W2'!$A$53,'W2'!I$53,IF('Subcontract 2'!$D57='W2'!$A$54,'W2'!I$54,IF('Subcontract 2'!$D57='W2'!$A$55,'W2'!I$55)))))))))),0))))))))</f>
        <v>0</v>
      </c>
      <c r="R57" s="187">
        <f>IF(R30=0,0,IF(AND($D57="F-SMRA",R30=0),0,IF(AND($D57="F-SMRB",R30=0),0,IF(AND($D57="F-SMRC",R30=0),0,IF($D57='W2'!$A$68,'W2'!J323,IF($D57='W2'!$A$69,'W2'!J323,IF($D57='W2'!$A$70,'W2'!J323,ROUND(('Subcontract 2'!R30/'W2'!$G$5*'W2'!$G$9*(IF('Subcontract 2'!$D57='W2'!$A$47,'W2'!J$47,IF('Subcontract 2'!$D57='W2'!$A$48,'W2'!J$48,IF('Subcontract 2'!$D57='W2'!$A$49,'W2'!J$49,IF('Subcontract 2'!$D57='W2'!$A$50,'W2'!J$50,IF('Subcontract 2'!$D57='W2'!$A$51,'W2'!J$51,IF('Subcontract 2'!$D57='W2'!$A$52,'W2'!J$52,IF('Subcontract 2'!$D57='W2'!$A$53,'W2'!J$53,IF('Subcontract 2'!$D57='W2'!$A$54,'W2'!J$54,IF('Subcontract 2'!$D57='W2'!$A$55,'W2'!J$55))))))))))),0)+ROUND(R30/'W2'!$G$5*'W2'!$G$10*(IF('Subcontract 2'!$D57='W2'!$A$47,'W2'!K$47,IF('Subcontract 2'!$D57='W2'!$A$48,'W2'!K$48,IF('Subcontract 2'!$D57='W2'!$A$49,'W2'!K$49,IF('Subcontract 2'!$D57='W2'!$A$50,'W2'!K$50,IF('Subcontract 2'!$D57='W2'!$A$51,'W2'!K$51,IF('Subcontract 2'!$D57='W2'!$A$52,'W2'!K$52,IF('Subcontract 2'!$D57='W2'!$A$53,'W2'!K$53,IF('Subcontract 2'!$D57='W2'!$A$54,'W2'!K$54,IF('Subcontract 2'!$D57='W2'!$A$55,'W2'!K$55)))))))))),0))))))))</f>
        <v>0</v>
      </c>
      <c r="S57" s="187">
        <f t="shared" si="6"/>
        <v>0</v>
      </c>
      <c r="T57" s="248"/>
      <c r="U57" s="248"/>
      <c r="V57" s="248"/>
      <c r="W57" s="248"/>
      <c r="X57" s="248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</row>
    <row r="58" spans="1:51" hidden="1" x14ac:dyDescent="0.2">
      <c r="A58" s="92">
        <v>24</v>
      </c>
      <c r="B58" s="381">
        <f t="shared" si="4"/>
        <v>0</v>
      </c>
      <c r="C58" s="382"/>
      <c r="D58" s="199" t="s">
        <v>52</v>
      </c>
      <c r="E58" s="277" t="str">
        <f>IF($D58='W2'!$A$59,'W2'!B$59,IF($D58='W2'!$A$60,'W2'!B$60,IF($D58='W2'!$A$61,'W2'!B$61,IF($D58='W2'!$A$62,'W2'!B$62,IF($D58='W2'!$A$63,'W2'!B$63,IF($D58='W2'!$A$64,'W2'!B$64,IF($D58='W2'!$A$65,'W2'!B$65,IF($D58='W2'!$A$66,'W2'!B$66,IF($D58='W2'!$A$67,'W2'!B$67,IF($D58='W2'!$A$68,'W2'!B298,IF($D58='W2'!$A$69,'W2'!B298,IF($D58='W2'!$A$70,'W2'!B298,IF($D58='W2'!$A$71,"")))))))))))))</f>
        <v/>
      </c>
      <c r="F58" s="378" t="str">
        <f>IF($D58='W2'!$A$59,'W2'!C$59,IF($D58='W2'!$A$60,'W2'!C$60,IF($D58='W2'!$A$61,'W2'!C$61,IF($D58='W2'!$A$62,'W2'!C$62,IF($D58='W2'!$A$63,'W2'!C$63,IF($D58='W2'!$A$64,'W2'!C$64,IF($D58='W2'!$A$65,'W2'!C$65,IF($D58='W2'!$A$66,'W2'!C$66,IF($D58='W2'!$A$67,'W2'!C$67,IF($D58='W2'!$A$68,'W2'!D298,IF($D58='W2'!$A$69,'W2'!D298,IF($D58='W2'!$A$70,'W2'!D298,IF($D58='W2'!$A$71,"")))))))))))))</f>
        <v/>
      </c>
      <c r="G58" s="379"/>
      <c r="H58" s="366" t="str">
        <f>IF($D58='W2'!$A$59,'W2'!D$59,IF($D58='W2'!$A$60,'W2'!D$60,IF($D58='W2'!$A$61,'W2'!D$61,IF($D58='W2'!$A$62,'W2'!D$62,IF($D58='W2'!$A$63,'W2'!D$63,IF($D58='W2'!$A$64,'W2'!D$64,IF($D58='W2'!$A$65,'W2'!D$65,IF($D58='W2'!$A$66,'W2'!D$66,IF($D58='W2'!$A$67,'W2'!D$67,IF($D58='W2'!$A$68,'W2'!F298,IF($D58='W2'!$A$69,'W2'!F298,IF($D58='W2'!$A$70,'W2'!F298,IF($D58='W2'!$A$71,"")))))))))))))</f>
        <v/>
      </c>
      <c r="I58" s="367"/>
      <c r="J58" s="366" t="str">
        <f>IF($D58='W2'!$A$59,'W2'!E$59,IF($D58='W2'!$A$60,'W2'!E$60,IF($D58='W2'!$A$61,'W2'!E$61,IF($D58='W2'!$A$62,'W2'!E$62,IF($D58='W2'!$A$63,'W2'!E$63,IF($D58='W2'!$A$64,'W2'!E$64,IF($D58='W2'!$A$65,'W2'!E$65,IF($D58='W2'!$A$66,'W2'!E$66,IF($D58='W2'!$A$67,'W2'!E$67,IF($D58='W2'!$A$68,'W2'!H298,IF($D58='W2'!$A$69,'W2'!H298,IF($D58='W2'!$A$70,'W2'!H298,IF($D58='W2'!$A$71,"")))))))))))))</f>
        <v/>
      </c>
      <c r="K58" s="367"/>
      <c r="L58" s="366" t="str">
        <f>IF($D58='W2'!$A$59,'W2'!F$59,IF($D58='W2'!$A$60,'W2'!F$60,IF($D58='W2'!$A$61,'W2'!F$61,IF($D58='W2'!$A$62,'W2'!F$62,IF($D58='W2'!$A$63,'W2'!F$63,IF($D58='W2'!$A$64,'W2'!F$64,IF($D58='W2'!$A$65,'W2'!F$65,IF($D58='W2'!$A$66,'W2'!F$66,IF($D58='W2'!$A$67,'W2'!F$67,IF($D58='W2'!$A$68,'W2'!J298,IF($D58='W2'!$A$69,'W2'!J298,IF($D58='W2'!$A$70,'W2'!J298,IF($D58='W2'!$A$71,"")))))))))))))</f>
        <v/>
      </c>
      <c r="M58" s="367"/>
      <c r="N58" s="187">
        <f>IF(N31=0,0,IF(AND($D58="F-SMRA",N31=0),0,IF(AND($D58="F-SMRB",N31=0),0,IF(AND($D58="F-SMRC",N31=0),0,IF($D58='W2'!$A$68,'W2'!B324,IF($D58='W2'!$A$69,'W2'!B324,IF($D58='W2'!$A$70,'W2'!B324,ROUND(('Subcontract 2'!N31/'W2'!$C$5*'W2'!$C$9*(IF('Subcontract 2'!$D58='W2'!$A$47,'W2'!B$47,IF('Subcontract 2'!$D58='W2'!$A$48,'W2'!B$48,IF('Subcontract 2'!$D58='W2'!$A$49,'W2'!B$49,IF('Subcontract 2'!$D58='W2'!$A$50,'W2'!B$50,IF('Subcontract 2'!$D58='W2'!$A$51,'W2'!B$51,IF('Subcontract 2'!$D58='W2'!$A$52,'W2'!B$52,IF('Subcontract 2'!$D58='W2'!$A$53,'W2'!B$53,IF('Subcontract 2'!$D58='W2'!$A$54,'W2'!B$54,IF('Subcontract 2'!$D58='W2'!$A$55,'W2'!B$55))))))))))),0)+ROUND(N31/'W2'!$C$5*'W2'!$C$10*(IF('Subcontract 2'!$D58='W2'!$A$47,'W2'!C$47,IF('Subcontract 2'!$D58='W2'!$A$48,'W2'!C$48,IF('Subcontract 2'!$D58='W2'!$A$49,'W2'!C$49,IF('Subcontract 2'!$D58='W2'!$A$50,'W2'!C$50,IF('Subcontract 2'!$D58='W2'!$A$51,'W2'!C$51,IF('Subcontract 2'!$D58='W2'!$A$52,'W2'!C$52,IF('Subcontract 2'!$D58='W2'!$A$53,'W2'!C$53,IF('Subcontract 2'!$D58='W2'!$A$54,'W2'!C$54,IF('Subcontract 2'!$D58='W2'!$A$55,'W2'!C$55)))))))))),0))))))))</f>
        <v>0</v>
      </c>
      <c r="O58" s="187">
        <f>IF(O31=0,0,IF(AND($D58="F-SMRA",O31=0),0,IF(AND($D58="F-SMRB",O31=0),0,IF(AND($D58="F-SMRC",O31=0),0,IF($D58='W2'!$A$68,'W2'!D324,IF($D58='W2'!$A$69,'W2'!D324,IF($D58='W2'!$A$70,'W2'!D324,ROUND(('Subcontract 2'!O31/'W2'!$D$5*'W2'!$D$9*(IF('Subcontract 2'!$D58='W2'!$A$47,'W2'!D$47,IF('Subcontract 2'!$D58='W2'!$A$48,'W2'!D$48,IF('Subcontract 2'!$D58='W2'!$A$49,'W2'!D$49,IF('Subcontract 2'!$D58='W2'!$A$50,'W2'!D$50,IF('Subcontract 2'!$D58='W2'!$A$51,'W2'!D$51,IF('Subcontract 2'!$D58='W2'!$A$52,'W2'!D$52,IF('Subcontract 2'!$D58='W2'!$A$53,'W2'!D$53,IF('Subcontract 2'!$D58='W2'!$A$54,'W2'!D$54,IF('Subcontract 2'!$D58='W2'!$A$55,'W2'!D$55))))))))))),0)+ROUND(O31/'W2'!$D$5*'W2'!$D$10*(IF('Subcontract 2'!$D58='W2'!$A$47,'W2'!E$47,IF('Subcontract 2'!$D58='W2'!$A$48,'W2'!E$48,IF('Subcontract 2'!$D58='W2'!$A$49,'W2'!E$49,IF('Subcontract 2'!$D58='W2'!$A$50,'W2'!E$50,IF('Subcontract 2'!$D58='W2'!$A$51,'W2'!E$51,IF('Subcontract 2'!$D58='W2'!$A$52,'W2'!E$52,IF('Subcontract 2'!$D58='W2'!$A$53,'W2'!E$53,IF('Subcontract 2'!$D58='W2'!$A$54,'W2'!E$54,IF('Subcontract 2'!$D58='W2'!$A$55,'W2'!E$55)))))))))),0))))))))</f>
        <v>0</v>
      </c>
      <c r="P58" s="187">
        <f>IF(P31=0,0,IF(AND($D58="F-SMRA",P31=0),0,IF(AND($D58="F-SMRB",P31=0),0,IF(AND($D58="F-SMRC",P31=0),0,IF($D58='W2'!$A$68,'W2'!F324,IF($D58='W2'!$A$69,'W2'!F324,IF($D58='W2'!$A$70,'W2'!F324,ROUND(('Subcontract 2'!P31/'W2'!$E$5*'W2'!$E$9*(IF('Subcontract 2'!$D58='W2'!$A$47,'W2'!F$47,IF('Subcontract 2'!$D58='W2'!$A$48,'W2'!F$48,IF('Subcontract 2'!$D58='W2'!$A$49,'W2'!F$49,IF('Subcontract 2'!$D58='W2'!$A$50,'W2'!F$50,IF('Subcontract 2'!$D58='W2'!$A$51,'W2'!F$51,IF('Subcontract 2'!$D58='W2'!$A$52,'W2'!F$52,IF('Subcontract 2'!$D58='W2'!$A$53,'W2'!F$53,IF('Subcontract 2'!$D58='W2'!$A$54,'W2'!F$54,IF('Subcontract 2'!$D58='W2'!$A$55,'W2'!F$55))))))))))),0)+ROUND(P31/'W2'!$E$5*'W2'!$E$10*(IF('Subcontract 2'!$D58='W2'!$A$47,'W2'!G$47,IF('Subcontract 2'!$D58='W2'!$A$48,'W2'!G$48,IF('Subcontract 2'!$D58='W2'!$A$49,'W2'!G$49,IF('Subcontract 2'!$D58='W2'!$A$50,'W2'!G$50,IF('Subcontract 2'!$D58='W2'!$A$51,'W2'!G$51,IF('Subcontract 2'!$D58='W2'!$A$52,'W2'!G$52,IF('Subcontract 2'!$D58='W2'!$A$53,'W2'!G$53,IF('Subcontract 2'!$D58='W2'!$A$54,'W2'!G$54,IF('Subcontract 2'!$D58='W2'!$A$55,'W2'!G$55)))))))))),0))))))))</f>
        <v>0</v>
      </c>
      <c r="Q58" s="187">
        <f>IF(Q31=0,0,IF(AND($D58="F-SMRA",Q31=0),0,IF(AND($D58="F-SMRB",Q31=0),0,IF(AND($D58="F-SMRC",Q31=0),0,IF($D58='W2'!$A$68,'W2'!H324,IF($D58='W2'!$A$69,'W2'!H324,IF($D58='W2'!$A$70,'W2'!H324,ROUND(('Subcontract 2'!Q31/'W2'!$F$5*'W2'!$F$9*(IF('Subcontract 2'!$D58='W2'!$A$47,'W2'!H$47,IF('Subcontract 2'!$D58='W2'!$A$48,'W2'!H$48,IF('Subcontract 2'!$D58='W2'!$A$49,'W2'!H$49,IF('Subcontract 2'!$D58='W2'!$A$50,'W2'!H$50,IF('Subcontract 2'!$D58='W2'!$A$51,'W2'!H$51,IF('Subcontract 2'!$D58='W2'!$A$52,'W2'!H$52,IF('Subcontract 2'!$D58='W2'!$A$53,'W2'!H$53,IF('Subcontract 2'!$D58='W2'!$A$54,'W2'!H$54,IF('Subcontract 2'!$D58='W2'!$A$55,'W2'!H$55))))))))))),0)+ROUND(Q31/'W2'!$F$5*'W2'!$F$10*(IF('Subcontract 2'!$D58='W2'!$A$47,'W2'!I$47,IF('Subcontract 2'!$D58='W2'!$A$48,'W2'!I$48,IF('Subcontract 2'!$D58='W2'!$A$49,'W2'!I$49,IF('Subcontract 2'!$D58='W2'!$A$50,'W2'!I$50,IF('Subcontract 2'!$D58='W2'!$A$51,'W2'!I$51,IF('Subcontract 2'!$D58='W2'!$A$52,'W2'!I$52,IF('Subcontract 2'!$D58='W2'!$A$53,'W2'!I$53,IF('Subcontract 2'!$D58='W2'!$A$54,'W2'!I$54,IF('Subcontract 2'!$D58='W2'!$A$55,'W2'!I$55)))))))))),0))))))))</f>
        <v>0</v>
      </c>
      <c r="R58" s="187">
        <f>IF(R31=0,0,IF(AND($D58="F-SMRA",R31=0),0,IF(AND($D58="F-SMRB",R31=0),0,IF(AND($D58="F-SMRC",R31=0),0,IF($D58='W2'!$A$68,'W2'!J324,IF($D58='W2'!$A$69,'W2'!J324,IF($D58='W2'!$A$70,'W2'!J324,ROUND(('Subcontract 2'!R31/'W2'!$G$5*'W2'!$G$9*(IF('Subcontract 2'!$D58='W2'!$A$47,'W2'!J$47,IF('Subcontract 2'!$D58='W2'!$A$48,'W2'!J$48,IF('Subcontract 2'!$D58='W2'!$A$49,'W2'!J$49,IF('Subcontract 2'!$D58='W2'!$A$50,'W2'!J$50,IF('Subcontract 2'!$D58='W2'!$A$51,'W2'!J$51,IF('Subcontract 2'!$D58='W2'!$A$52,'W2'!J$52,IF('Subcontract 2'!$D58='W2'!$A$53,'W2'!J$53,IF('Subcontract 2'!$D58='W2'!$A$54,'W2'!J$54,IF('Subcontract 2'!$D58='W2'!$A$55,'W2'!J$55))))))))))),0)+ROUND(R31/'W2'!$G$5*'W2'!$G$10*(IF('Subcontract 2'!$D58='W2'!$A$47,'W2'!K$47,IF('Subcontract 2'!$D58='W2'!$A$48,'W2'!K$48,IF('Subcontract 2'!$D58='W2'!$A$49,'W2'!K$49,IF('Subcontract 2'!$D58='W2'!$A$50,'W2'!K$50,IF('Subcontract 2'!$D58='W2'!$A$51,'W2'!K$51,IF('Subcontract 2'!$D58='W2'!$A$52,'W2'!K$52,IF('Subcontract 2'!$D58='W2'!$A$53,'W2'!K$53,IF('Subcontract 2'!$D58='W2'!$A$54,'W2'!K$54,IF('Subcontract 2'!$D58='W2'!$A$55,'W2'!K$55)))))))))),0))))))))</f>
        <v>0</v>
      </c>
      <c r="S58" s="187">
        <f t="shared" si="6"/>
        <v>0</v>
      </c>
      <c r="T58" s="248"/>
      <c r="U58" s="248"/>
      <c r="V58" s="248"/>
      <c r="W58" s="248"/>
      <c r="X58" s="248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</row>
    <row r="59" spans="1:51" x14ac:dyDescent="0.2">
      <c r="A59" s="360" t="s">
        <v>7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2"/>
      <c r="N59" s="201">
        <f>ROUND(SUM(N35:N58),0)</f>
        <v>0</v>
      </c>
      <c r="O59" s="201">
        <f t="shared" ref="O59:S59" si="7">SUM(O35:O58)</f>
        <v>0</v>
      </c>
      <c r="P59" s="201">
        <f t="shared" si="7"/>
        <v>0</v>
      </c>
      <c r="Q59" s="201">
        <f t="shared" si="7"/>
        <v>0</v>
      </c>
      <c r="R59" s="201">
        <f t="shared" si="7"/>
        <v>0</v>
      </c>
      <c r="S59" s="201">
        <f t="shared" si="7"/>
        <v>0</v>
      </c>
      <c r="T59" s="249"/>
      <c r="U59" s="249"/>
      <c r="V59" s="249"/>
      <c r="W59" s="249"/>
      <c r="X59" s="249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spans="1:51" x14ac:dyDescent="0.2">
      <c r="A60" s="363" t="s">
        <v>21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5"/>
      <c r="N60" s="202">
        <f t="shared" ref="N60:S60" si="8">N32+N59</f>
        <v>0</v>
      </c>
      <c r="O60" s="202">
        <f t="shared" si="8"/>
        <v>0</v>
      </c>
      <c r="P60" s="202">
        <f t="shared" si="8"/>
        <v>0</v>
      </c>
      <c r="Q60" s="202">
        <f t="shared" si="8"/>
        <v>0</v>
      </c>
      <c r="R60" s="202">
        <f t="shared" si="8"/>
        <v>0</v>
      </c>
      <c r="S60" s="202">
        <f t="shared" si="8"/>
        <v>0</v>
      </c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</row>
    <row r="61" spans="1:51" x14ac:dyDescent="0.2"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</row>
    <row r="62" spans="1:51" ht="15" x14ac:dyDescent="0.25">
      <c r="A62" s="346" t="s">
        <v>242</v>
      </c>
      <c r="B62" s="347"/>
      <c r="C62" s="347"/>
      <c r="D62" s="422"/>
      <c r="E62" s="422"/>
      <c r="F62" s="422"/>
      <c r="G62" s="422"/>
      <c r="H62" s="422"/>
      <c r="I62" s="422"/>
      <c r="J62" s="55"/>
      <c r="K62" s="402"/>
      <c r="L62" s="402"/>
      <c r="M62" s="403"/>
      <c r="N62" s="106"/>
      <c r="O62" s="106"/>
      <c r="P62" s="106"/>
      <c r="Q62" s="106"/>
      <c r="R62" s="106"/>
      <c r="S62" s="106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x14ac:dyDescent="0.2">
      <c r="A63" s="231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190"/>
      <c r="N63" s="204"/>
      <c r="O63" s="204"/>
      <c r="P63" s="204"/>
      <c r="Q63" s="204"/>
      <c r="R63" s="204"/>
      <c r="S63" s="86">
        <f>SUM(N63:R63)</f>
        <v>0</v>
      </c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x14ac:dyDescent="0.2">
      <c r="A64" s="231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190"/>
      <c r="N64" s="204"/>
      <c r="O64" s="204"/>
      <c r="P64" s="204"/>
      <c r="Q64" s="204"/>
      <c r="R64" s="204"/>
      <c r="S64" s="86">
        <f t="shared" ref="S64:S70" si="9">SUM(N64:R64)</f>
        <v>0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x14ac:dyDescent="0.2">
      <c r="A65" s="231" t="s">
        <v>189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190"/>
      <c r="N65" s="204"/>
      <c r="O65" s="204"/>
      <c r="P65" s="204"/>
      <c r="Q65" s="204"/>
      <c r="R65" s="204"/>
      <c r="S65" s="86">
        <f t="shared" si="9"/>
        <v>0</v>
      </c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x14ac:dyDescent="0.2">
      <c r="A66" s="231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190"/>
      <c r="N66" s="204"/>
      <c r="O66" s="204"/>
      <c r="P66" s="204"/>
      <c r="Q66" s="204"/>
      <c r="R66" s="204"/>
      <c r="S66" s="86">
        <f t="shared" si="9"/>
        <v>0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idden="1" x14ac:dyDescent="0.2">
      <c r="A67" s="231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190" t="s">
        <v>192</v>
      </c>
      <c r="N67" s="204"/>
      <c r="O67" s="204"/>
      <c r="P67" s="204"/>
      <c r="Q67" s="204"/>
      <c r="R67" s="204"/>
      <c r="S67" s="86">
        <f t="shared" si="9"/>
        <v>0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idden="1" x14ac:dyDescent="0.2">
      <c r="A68" s="231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190" t="s">
        <v>192</v>
      </c>
      <c r="N68" s="204"/>
      <c r="O68" s="204"/>
      <c r="P68" s="204"/>
      <c r="Q68" s="204"/>
      <c r="R68" s="204"/>
      <c r="S68" s="86">
        <f t="shared" si="9"/>
        <v>0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idden="1" x14ac:dyDescent="0.2">
      <c r="A69" s="231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190" t="s">
        <v>192</v>
      </c>
      <c r="N69" s="204"/>
      <c r="O69" s="204"/>
      <c r="P69" s="204"/>
      <c r="Q69" s="204"/>
      <c r="R69" s="204"/>
      <c r="S69" s="86">
        <f t="shared" si="9"/>
        <v>0</v>
      </c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idden="1" x14ac:dyDescent="0.2">
      <c r="A70" s="231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190" t="s">
        <v>192</v>
      </c>
      <c r="N70" s="204"/>
      <c r="O70" s="204"/>
      <c r="P70" s="204"/>
      <c r="Q70" s="204"/>
      <c r="R70" s="204"/>
      <c r="S70" s="86">
        <f t="shared" si="9"/>
        <v>0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x14ac:dyDescent="0.2">
      <c r="A71" s="346" t="s">
        <v>66</v>
      </c>
      <c r="B71" s="347"/>
      <c r="C71" s="347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89">
        <f>SUM(N63:N66)</f>
        <v>0</v>
      </c>
      <c r="O71" s="89">
        <f>SUM(O63:O66)</f>
        <v>0</v>
      </c>
      <c r="P71" s="89">
        <f>SUM(P63:P70)</f>
        <v>0</v>
      </c>
      <c r="Q71" s="89">
        <f>SUM(Q63:Q70)</f>
        <v>0</v>
      </c>
      <c r="R71" s="89">
        <f>SUM(R63:R70)</f>
        <v>0</v>
      </c>
      <c r="S71" s="89">
        <f>SUM(S63:S70)</f>
        <v>0</v>
      </c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x14ac:dyDescent="0.2"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x14ac:dyDescent="0.2">
      <c r="A73" s="346" t="s">
        <v>67</v>
      </c>
      <c r="B73" s="347"/>
      <c r="C73" s="3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06"/>
      <c r="O73" s="106"/>
      <c r="P73" s="106"/>
      <c r="Q73" s="106"/>
      <c r="R73" s="106"/>
      <c r="S73" s="106">
        <f>S62</f>
        <v>0</v>
      </c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x14ac:dyDescent="0.2">
      <c r="A74" s="231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5"/>
      <c r="O74" s="205"/>
      <c r="P74" s="205"/>
      <c r="Q74" s="205"/>
      <c r="R74" s="205"/>
      <c r="S74" s="86">
        <f>SUM(N74:R74)</f>
        <v>0</v>
      </c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x14ac:dyDescent="0.2">
      <c r="A75" s="231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5"/>
      <c r="O75" s="205"/>
      <c r="P75" s="205"/>
      <c r="Q75" s="205"/>
      <c r="R75" s="205"/>
      <c r="S75" s="86">
        <f t="shared" ref="S75:S107" si="10">SUM(N75:R75)</f>
        <v>0</v>
      </c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x14ac:dyDescent="0.2">
      <c r="A76" s="231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5"/>
      <c r="O76" s="205"/>
      <c r="P76" s="205"/>
      <c r="Q76" s="205"/>
      <c r="R76" s="205"/>
      <c r="S76" s="86">
        <f t="shared" si="10"/>
        <v>0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x14ac:dyDescent="0.2">
      <c r="A77" s="231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5"/>
      <c r="O77" s="205"/>
      <c r="P77" s="205"/>
      <c r="Q77" s="205"/>
      <c r="R77" s="205"/>
      <c r="S77" s="86">
        <f t="shared" si="10"/>
        <v>0</v>
      </c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x14ac:dyDescent="0.2">
      <c r="A78" s="231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5"/>
      <c r="O78" s="205"/>
      <c r="P78" s="205"/>
      <c r="Q78" s="205"/>
      <c r="R78" s="205"/>
      <c r="S78" s="86">
        <f t="shared" si="10"/>
        <v>0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x14ac:dyDescent="0.2">
      <c r="A79" s="231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5"/>
      <c r="O79" s="205"/>
      <c r="P79" s="205"/>
      <c r="Q79" s="205"/>
      <c r="R79" s="205"/>
      <c r="S79" s="86">
        <f t="shared" si="10"/>
        <v>0</v>
      </c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x14ac:dyDescent="0.2">
      <c r="A80" s="231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5"/>
      <c r="O80" s="205"/>
      <c r="P80" s="205"/>
      <c r="Q80" s="205"/>
      <c r="R80" s="205"/>
      <c r="S80" s="86">
        <f t="shared" si="10"/>
        <v>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x14ac:dyDescent="0.2">
      <c r="A81" s="231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5"/>
      <c r="O81" s="205"/>
      <c r="P81" s="205"/>
      <c r="Q81" s="205"/>
      <c r="R81" s="205"/>
      <c r="S81" s="86">
        <f t="shared" si="10"/>
        <v>0</v>
      </c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idden="1" x14ac:dyDescent="0.2">
      <c r="A82" s="23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5"/>
      <c r="O82" s="205"/>
      <c r="P82" s="205"/>
      <c r="Q82" s="205"/>
      <c r="R82" s="205"/>
      <c r="S82" s="86">
        <f t="shared" si="10"/>
        <v>0</v>
      </c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idden="1" x14ac:dyDescent="0.2">
      <c r="A83" s="231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5"/>
      <c r="O83" s="205"/>
      <c r="P83" s="205"/>
      <c r="Q83" s="205"/>
      <c r="R83" s="205"/>
      <c r="S83" s="86">
        <f t="shared" si="10"/>
        <v>0</v>
      </c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hidden="1" x14ac:dyDescent="0.2">
      <c r="A84" s="231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5"/>
      <c r="O84" s="205"/>
      <c r="P84" s="205"/>
      <c r="Q84" s="205"/>
      <c r="R84" s="205"/>
      <c r="S84" s="86">
        <f t="shared" si="10"/>
        <v>0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hidden="1" x14ac:dyDescent="0.2">
      <c r="A85" s="231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5"/>
      <c r="O85" s="205"/>
      <c r="P85" s="205"/>
      <c r="Q85" s="205"/>
      <c r="R85" s="205"/>
      <c r="S85" s="86">
        <f t="shared" si="10"/>
        <v>0</v>
      </c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hidden="1" x14ac:dyDescent="0.2">
      <c r="A86" s="231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5"/>
      <c r="O86" s="205"/>
      <c r="P86" s="205"/>
      <c r="Q86" s="205"/>
      <c r="R86" s="205"/>
      <c r="S86" s="86">
        <f t="shared" si="10"/>
        <v>0</v>
      </c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hidden="1" x14ac:dyDescent="0.2">
      <c r="A87" s="231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5"/>
      <c r="O87" s="205"/>
      <c r="P87" s="205"/>
      <c r="Q87" s="205"/>
      <c r="R87" s="205"/>
      <c r="S87" s="86">
        <f t="shared" si="10"/>
        <v>0</v>
      </c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hidden="1" x14ac:dyDescent="0.2">
      <c r="A88" s="231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5"/>
      <c r="O88" s="205"/>
      <c r="P88" s="205"/>
      <c r="Q88" s="205"/>
      <c r="R88" s="205"/>
      <c r="S88" s="86">
        <f t="shared" si="10"/>
        <v>0</v>
      </c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hidden="1" x14ac:dyDescent="0.2">
      <c r="A89" s="231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5"/>
      <c r="O89" s="205"/>
      <c r="P89" s="205"/>
      <c r="Q89" s="205"/>
      <c r="R89" s="205"/>
      <c r="S89" s="86">
        <f t="shared" si="10"/>
        <v>0</v>
      </c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hidden="1" x14ac:dyDescent="0.2">
      <c r="A90" s="23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5"/>
      <c r="O90" s="205"/>
      <c r="P90" s="205"/>
      <c r="Q90" s="205"/>
      <c r="R90" s="205"/>
      <c r="S90" s="86">
        <f t="shared" si="10"/>
        <v>0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hidden="1" x14ac:dyDescent="0.2">
      <c r="A91" s="231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5"/>
      <c r="O91" s="205"/>
      <c r="P91" s="205"/>
      <c r="Q91" s="205"/>
      <c r="R91" s="205"/>
      <c r="S91" s="86">
        <f t="shared" si="10"/>
        <v>0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hidden="1" x14ac:dyDescent="0.2">
      <c r="A92" s="23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5"/>
      <c r="O92" s="205"/>
      <c r="P92" s="205"/>
      <c r="Q92" s="205"/>
      <c r="R92" s="205"/>
      <c r="S92" s="86">
        <f t="shared" si="10"/>
        <v>0</v>
      </c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hidden="1" x14ac:dyDescent="0.2">
      <c r="A93" s="23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5"/>
      <c r="O93" s="205"/>
      <c r="P93" s="205"/>
      <c r="Q93" s="205"/>
      <c r="R93" s="205"/>
      <c r="S93" s="86">
        <f t="shared" si="10"/>
        <v>0</v>
      </c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hidden="1" x14ac:dyDescent="0.2">
      <c r="A94" s="23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5"/>
      <c r="O94" s="205"/>
      <c r="P94" s="205"/>
      <c r="Q94" s="205"/>
      <c r="R94" s="205"/>
      <c r="S94" s="86">
        <f t="shared" si="10"/>
        <v>0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hidden="1" x14ac:dyDescent="0.2">
      <c r="A95" s="231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5"/>
      <c r="O95" s="205"/>
      <c r="P95" s="205"/>
      <c r="Q95" s="205"/>
      <c r="R95" s="205"/>
      <c r="S95" s="86">
        <f t="shared" si="10"/>
        <v>0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hidden="1" x14ac:dyDescent="0.2">
      <c r="A96" s="231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5"/>
      <c r="O96" s="205"/>
      <c r="P96" s="205"/>
      <c r="Q96" s="205"/>
      <c r="R96" s="205"/>
      <c r="S96" s="86">
        <f t="shared" si="10"/>
        <v>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idden="1" x14ac:dyDescent="0.2">
      <c r="A97" s="23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5"/>
      <c r="O97" s="205"/>
      <c r="P97" s="205"/>
      <c r="Q97" s="205"/>
      <c r="R97" s="205"/>
      <c r="S97" s="86">
        <f t="shared" si="10"/>
        <v>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idden="1" x14ac:dyDescent="0.2">
      <c r="A98" s="23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5"/>
      <c r="O98" s="205"/>
      <c r="P98" s="205"/>
      <c r="Q98" s="205"/>
      <c r="R98" s="205"/>
      <c r="S98" s="86">
        <f t="shared" si="10"/>
        <v>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idden="1" x14ac:dyDescent="0.2">
      <c r="A99" s="231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5"/>
      <c r="O99" s="205"/>
      <c r="P99" s="205"/>
      <c r="Q99" s="205"/>
      <c r="R99" s="205"/>
      <c r="S99" s="86">
        <f t="shared" si="10"/>
        <v>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idden="1" x14ac:dyDescent="0.2">
      <c r="A100" s="231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5"/>
      <c r="O100" s="205"/>
      <c r="P100" s="205"/>
      <c r="Q100" s="205"/>
      <c r="R100" s="205"/>
      <c r="S100" s="86">
        <f t="shared" si="10"/>
        <v>0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idden="1" x14ac:dyDescent="0.2">
      <c r="A101" s="231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5"/>
      <c r="O101" s="205"/>
      <c r="P101" s="205"/>
      <c r="Q101" s="205"/>
      <c r="R101" s="205"/>
      <c r="S101" s="86">
        <f t="shared" si="10"/>
        <v>0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idden="1" x14ac:dyDescent="0.2">
      <c r="A102" s="23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5"/>
      <c r="O102" s="205"/>
      <c r="P102" s="205"/>
      <c r="Q102" s="205"/>
      <c r="R102" s="205"/>
      <c r="S102" s="86">
        <f t="shared" si="10"/>
        <v>0</v>
      </c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hidden="1" x14ac:dyDescent="0.2">
      <c r="A103" s="23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5"/>
      <c r="O103" s="205"/>
      <c r="P103" s="205"/>
      <c r="Q103" s="205"/>
      <c r="R103" s="205"/>
      <c r="S103" s="86">
        <f t="shared" si="10"/>
        <v>0</v>
      </c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</row>
    <row r="104" spans="1:51" hidden="1" x14ac:dyDescent="0.2">
      <c r="A104" s="231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5"/>
      <c r="O104" s="205"/>
      <c r="P104" s="205"/>
      <c r="Q104" s="205"/>
      <c r="R104" s="205"/>
      <c r="S104" s="86">
        <f t="shared" si="10"/>
        <v>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</row>
    <row r="105" spans="1:51" hidden="1" x14ac:dyDescent="0.2">
      <c r="A105" s="231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5"/>
      <c r="O105" s="205"/>
      <c r="P105" s="205"/>
      <c r="Q105" s="205"/>
      <c r="R105" s="205"/>
      <c r="S105" s="86">
        <f t="shared" si="10"/>
        <v>0</v>
      </c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</row>
    <row r="106" spans="1:51" hidden="1" x14ac:dyDescent="0.2">
      <c r="A106" s="23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5"/>
      <c r="O106" s="205"/>
      <c r="P106" s="205"/>
      <c r="Q106" s="205"/>
      <c r="R106" s="205"/>
      <c r="S106" s="86">
        <f t="shared" si="10"/>
        <v>0</v>
      </c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</row>
    <row r="107" spans="1:51" hidden="1" x14ac:dyDescent="0.2">
      <c r="A107" s="231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5"/>
      <c r="O107" s="205"/>
      <c r="P107" s="205"/>
      <c r="Q107" s="205"/>
      <c r="R107" s="205"/>
      <c r="S107" s="86">
        <f t="shared" si="10"/>
        <v>0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</row>
    <row r="108" spans="1:51" x14ac:dyDescent="0.2">
      <c r="A108" s="348" t="s">
        <v>68</v>
      </c>
      <c r="B108" s="349"/>
      <c r="C108" s="3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53">
        <f>SUM(N74:N107)</f>
        <v>0</v>
      </c>
      <c r="O108" s="153">
        <f t="shared" ref="O108:R108" si="11">SUM(O74:O107)</f>
        <v>0</v>
      </c>
      <c r="P108" s="153">
        <f t="shared" si="11"/>
        <v>0</v>
      </c>
      <c r="Q108" s="153">
        <f t="shared" si="11"/>
        <v>0</v>
      </c>
      <c r="R108" s="153">
        <f t="shared" si="11"/>
        <v>0</v>
      </c>
      <c r="S108" s="153">
        <f>SUM(S74:S107)</f>
        <v>0</v>
      </c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</row>
    <row r="109" spans="1:51" x14ac:dyDescent="0.2"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</row>
    <row r="110" spans="1:51" x14ac:dyDescent="0.2"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</row>
    <row r="111" spans="1:51" hidden="1" x14ac:dyDescent="0.2">
      <c r="A111" s="23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14"/>
      <c r="O111" s="214"/>
      <c r="P111" s="214"/>
      <c r="Q111" s="214"/>
      <c r="R111" s="214"/>
      <c r="S111" s="90">
        <f t="shared" ref="S111:S114" si="12">SUM(N111:R111)</f>
        <v>0</v>
      </c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</row>
    <row r="112" spans="1:51" hidden="1" x14ac:dyDescent="0.2">
      <c r="A112" s="231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14"/>
      <c r="O112" s="214"/>
      <c r="P112" s="214"/>
      <c r="Q112" s="214"/>
      <c r="R112" s="214"/>
      <c r="S112" s="90">
        <f t="shared" si="12"/>
        <v>0</v>
      </c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</row>
    <row r="113" spans="1:51" hidden="1" x14ac:dyDescent="0.2">
      <c r="A113" s="231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14"/>
      <c r="O113" s="214"/>
      <c r="P113" s="214"/>
      <c r="Q113" s="214"/>
      <c r="R113" s="214"/>
      <c r="S113" s="90">
        <f t="shared" si="12"/>
        <v>0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</row>
    <row r="114" spans="1:51" hidden="1" x14ac:dyDescent="0.2">
      <c r="A114" s="231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14"/>
      <c r="O114" s="214"/>
      <c r="P114" s="214"/>
      <c r="Q114" s="214"/>
      <c r="R114" s="214"/>
      <c r="S114" s="90">
        <f t="shared" si="12"/>
        <v>0</v>
      </c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</row>
    <row r="115" spans="1:51" x14ac:dyDescent="0.2">
      <c r="A115" s="232" t="s">
        <v>224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2"/>
      <c r="N115" s="213"/>
      <c r="O115" s="213"/>
      <c r="P115" s="213"/>
      <c r="Q115" s="213"/>
      <c r="R115" s="213"/>
      <c r="S115" s="88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</row>
    <row r="116" spans="1:51" x14ac:dyDescent="0.2">
      <c r="A116" s="23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204"/>
      <c r="P116" s="204"/>
      <c r="Q116" s="204"/>
      <c r="R116" s="204"/>
      <c r="S116" s="90">
        <f t="shared" ref="S116:S133" si="13">SUM(N116:R116)</f>
        <v>0</v>
      </c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</row>
    <row r="117" spans="1:51" x14ac:dyDescent="0.2">
      <c r="A117" s="231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O117" s="204"/>
      <c r="P117" s="204"/>
      <c r="Q117" s="204"/>
      <c r="R117" s="204"/>
      <c r="S117" s="90">
        <f t="shared" si="13"/>
        <v>0</v>
      </c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</row>
    <row r="118" spans="1:51" x14ac:dyDescent="0.2">
      <c r="A118" s="231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4"/>
      <c r="O118" s="204"/>
      <c r="P118" s="204"/>
      <c r="Q118" s="204"/>
      <c r="R118" s="204"/>
      <c r="S118" s="90">
        <f t="shared" si="13"/>
        <v>0</v>
      </c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</row>
    <row r="119" spans="1:51" x14ac:dyDescent="0.2">
      <c r="A119" s="231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4"/>
      <c r="O119" s="204"/>
      <c r="P119" s="204"/>
      <c r="Q119" s="204"/>
      <c r="R119" s="204"/>
      <c r="S119" s="90">
        <f t="shared" si="13"/>
        <v>0</v>
      </c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</row>
    <row r="120" spans="1:51" x14ac:dyDescent="0.2">
      <c r="A120" s="231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4"/>
      <c r="O120" s="204"/>
      <c r="P120" s="204"/>
      <c r="Q120" s="204"/>
      <c r="R120" s="204"/>
      <c r="S120" s="90">
        <f t="shared" si="13"/>
        <v>0</v>
      </c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</row>
    <row r="121" spans="1:51" x14ac:dyDescent="0.2">
      <c r="A121" s="231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4"/>
      <c r="O121" s="204"/>
      <c r="P121" s="204"/>
      <c r="Q121" s="204"/>
      <c r="R121" s="204"/>
      <c r="S121" s="90">
        <f t="shared" si="13"/>
        <v>0</v>
      </c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</row>
    <row r="122" spans="1:51" hidden="1" x14ac:dyDescent="0.2">
      <c r="A122" s="231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4"/>
      <c r="P122" s="204"/>
      <c r="Q122" s="204"/>
      <c r="R122" s="204"/>
      <c r="S122" s="90">
        <f t="shared" si="13"/>
        <v>0</v>
      </c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</row>
    <row r="123" spans="1:51" hidden="1" x14ac:dyDescent="0.2">
      <c r="A123" s="231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4"/>
      <c r="O123" s="204"/>
      <c r="P123" s="204"/>
      <c r="Q123" s="204"/>
      <c r="R123" s="204"/>
      <c r="S123" s="90">
        <f t="shared" si="13"/>
        <v>0</v>
      </c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</row>
    <row r="124" spans="1:51" hidden="1" x14ac:dyDescent="0.2">
      <c r="A124" s="231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204"/>
      <c r="P124" s="204"/>
      <c r="Q124" s="204"/>
      <c r="R124" s="204"/>
      <c r="S124" s="90">
        <f t="shared" si="13"/>
        <v>0</v>
      </c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</row>
    <row r="125" spans="1:51" hidden="1" x14ac:dyDescent="0.2">
      <c r="A125" s="231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204"/>
      <c r="P125" s="204"/>
      <c r="Q125" s="204"/>
      <c r="R125" s="204"/>
      <c r="S125" s="90">
        <f t="shared" si="13"/>
        <v>0</v>
      </c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</row>
    <row r="126" spans="1:51" hidden="1" x14ac:dyDescent="0.2">
      <c r="A126" s="231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204"/>
      <c r="P126" s="204"/>
      <c r="Q126" s="204"/>
      <c r="R126" s="204"/>
      <c r="S126" s="90">
        <f t="shared" si="13"/>
        <v>0</v>
      </c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</row>
    <row r="127" spans="1:51" hidden="1" x14ac:dyDescent="0.2">
      <c r="A127" s="231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204"/>
      <c r="P127" s="204"/>
      <c r="Q127" s="204"/>
      <c r="R127" s="204"/>
      <c r="S127" s="90">
        <f t="shared" si="13"/>
        <v>0</v>
      </c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</row>
    <row r="128" spans="1:51" hidden="1" x14ac:dyDescent="0.2">
      <c r="A128" s="231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204"/>
      <c r="P128" s="204"/>
      <c r="Q128" s="204"/>
      <c r="R128" s="204"/>
      <c r="S128" s="90">
        <f t="shared" si="13"/>
        <v>0</v>
      </c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</row>
    <row r="129" spans="1:51" hidden="1" x14ac:dyDescent="0.2">
      <c r="A129" s="231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4"/>
      <c r="P129" s="204"/>
      <c r="Q129" s="204"/>
      <c r="R129" s="204"/>
      <c r="S129" s="90">
        <f t="shared" si="13"/>
        <v>0</v>
      </c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</row>
    <row r="130" spans="1:51" hidden="1" x14ac:dyDescent="0.2">
      <c r="A130" s="231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4"/>
      <c r="O130" s="204"/>
      <c r="P130" s="204"/>
      <c r="Q130" s="204"/>
      <c r="R130" s="204"/>
      <c r="S130" s="90">
        <f t="shared" si="13"/>
        <v>0</v>
      </c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</row>
    <row r="131" spans="1:51" hidden="1" x14ac:dyDescent="0.2">
      <c r="A131" s="231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4"/>
      <c r="O131" s="204"/>
      <c r="P131" s="204"/>
      <c r="Q131" s="204"/>
      <c r="R131" s="204"/>
      <c r="S131" s="90">
        <f t="shared" si="13"/>
        <v>0</v>
      </c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</row>
    <row r="132" spans="1:51" hidden="1" x14ac:dyDescent="0.2">
      <c r="A132" s="231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4"/>
      <c r="O132" s="204"/>
      <c r="P132" s="204"/>
      <c r="Q132" s="204"/>
      <c r="R132" s="204"/>
      <c r="S132" s="90">
        <f t="shared" si="13"/>
        <v>0</v>
      </c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</row>
    <row r="133" spans="1:51" hidden="1" x14ac:dyDescent="0.2">
      <c r="A133" s="231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04"/>
      <c r="O133" s="204"/>
      <c r="P133" s="204"/>
      <c r="Q133" s="204"/>
      <c r="R133" s="204"/>
      <c r="S133" s="90">
        <f t="shared" si="13"/>
        <v>0</v>
      </c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</row>
    <row r="134" spans="1:51" x14ac:dyDescent="0.2">
      <c r="A134" s="160" t="s">
        <v>81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2"/>
      <c r="N134" s="147">
        <f>SUM(N116:N121)</f>
        <v>0</v>
      </c>
      <c r="O134" s="147">
        <f>SUM(O116:O121)</f>
        <v>0</v>
      </c>
      <c r="P134" s="147">
        <f>SUM(P111:P133)</f>
        <v>0</v>
      </c>
      <c r="Q134" s="147">
        <f>SUM(Q111:Q133)</f>
        <v>0</v>
      </c>
      <c r="R134" s="147">
        <f>SUM(R111:R133)</f>
        <v>0</v>
      </c>
      <c r="S134" s="148">
        <f>N134+O134</f>
        <v>0</v>
      </c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</row>
    <row r="135" spans="1:51" x14ac:dyDescent="0.2">
      <c r="A135" s="160" t="s">
        <v>82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2"/>
      <c r="N135" s="234">
        <f>N134+N108+N71+N60</f>
        <v>0</v>
      </c>
      <c r="O135" s="234">
        <f>O134+O108+O71+O60</f>
        <v>0</v>
      </c>
      <c r="P135" s="234" t="e">
        <f>P60+#REF!+P71+P108+#REF!+#REF!+P134</f>
        <v>#REF!</v>
      </c>
      <c r="Q135" s="234" t="e">
        <f>Q60+#REF!+Q71+Q108+#REF!+#REF!+Q134</f>
        <v>#REF!</v>
      </c>
      <c r="R135" s="234" t="e">
        <f>R60+#REF!+R71+R108+#REF!+#REF!+R134</f>
        <v>#REF!</v>
      </c>
      <c r="S135" s="148">
        <f>N135+O135</f>
        <v>0</v>
      </c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</row>
    <row r="136" spans="1:51" hidden="1" x14ac:dyDescent="0.2">
      <c r="A136" s="241" t="s">
        <v>101</v>
      </c>
      <c r="B136" s="237"/>
      <c r="C136" s="237"/>
      <c r="D136" s="238"/>
      <c r="E136" s="423" t="s">
        <v>102</v>
      </c>
      <c r="F136" s="424"/>
      <c r="G136" s="424"/>
      <c r="H136" s="424"/>
      <c r="I136" s="424"/>
      <c r="J136" s="424"/>
      <c r="K136" s="424"/>
      <c r="L136" s="424"/>
      <c r="M136" s="425"/>
      <c r="N136" s="243"/>
      <c r="O136" s="243"/>
      <c r="P136" s="243"/>
      <c r="Q136" s="243"/>
      <c r="R136" s="243"/>
      <c r="S136" s="87">
        <f>SUM(N136:R136)</f>
        <v>0</v>
      </c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</row>
    <row r="137" spans="1:51" x14ac:dyDescent="0.2">
      <c r="A137" s="242" t="s">
        <v>84</v>
      </c>
      <c r="B137" s="239"/>
      <c r="C137" s="240"/>
      <c r="D137" s="240"/>
      <c r="E137" s="426" t="s">
        <v>97</v>
      </c>
      <c r="F137" s="427"/>
      <c r="G137" s="428"/>
      <c r="H137" s="429" t="s">
        <v>98</v>
      </c>
      <c r="I137" s="430"/>
      <c r="J137" s="426" t="s">
        <v>100</v>
      </c>
      <c r="K137" s="427"/>
      <c r="L137" s="431">
        <v>0.1</v>
      </c>
      <c r="M137" s="432"/>
      <c r="N137" s="65">
        <f>ROUND(N135*L137,0)</f>
        <v>0</v>
      </c>
      <c r="O137" s="65">
        <f>ROUND(O135*L137,0)</f>
        <v>0</v>
      </c>
      <c r="P137" s="65" t="e">
        <f>IF(P135=0,0,IF($H$137="Custom",(ROUND(P136*$L$137,0)),(IF(#REF!='W2'!$A$91,ROUND('Subcontract 2'!#REF!*$L$137,0),(ROUND((#REF!-'W2'!E160)/'W2'!E5*'W2'!E9*'W2'!F97+(#REF!-'W2'!E160)/'W2'!E5*'W2'!E10*'W2'!G97,0)+(IF(#REF!="Federal",ROUND('W2'!E160*'W2'!B92,0),(ROUND('W2'!E160*'W2'!B93,0)))))))))</f>
        <v>#REF!</v>
      </c>
      <c r="Q137" s="65" t="e">
        <f>IF(Q135=0,0,IF($H$137="Custom",(ROUND(Q136*$L$137,0)),(IF(#REF!='W2'!$A$91,ROUND('Subcontract 2'!#REF!*$L$137,0),(ROUND((#REF!-'W2'!F160)/'W2'!F5*'W2'!F9*'W2'!H97+(#REF!-'W2'!F160)/'W2'!F5*'W2'!F10*'W2'!I97,0)+(IF(#REF!="Federal",ROUND('W2'!F160*'W2'!B92,0),(ROUND('W2'!F160*'W2'!B93,0)))))))))</f>
        <v>#REF!</v>
      </c>
      <c r="R137" s="65" t="e">
        <f>IF(R135=0,0,IF($H$137="Custom",(ROUND(R136*$L$137,0)),(IF(#REF!='W2'!$A$91,ROUND('Subcontract 2'!#REF!*$L$137,0),(ROUND((#REF!-'W2'!G160)/'W2'!G5*'W2'!G9*'W2'!J97+(#REF!-'W2'!G160)/'W2'!G5*'W2'!G10*'W2'!K97,0)+(IF(#REF!="Federal",ROUND('W2'!G160*'W2'!B92,0),(ROUND('W2'!G160*'W2'!B93,0)))))))))</f>
        <v>#REF!</v>
      </c>
      <c r="S137" s="148">
        <f>N137+O137</f>
        <v>0</v>
      </c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</row>
    <row r="138" spans="1:51" x14ac:dyDescent="0.2">
      <c r="A138" s="95" t="s">
        <v>85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66"/>
      <c r="M138" s="67"/>
      <c r="N138" s="68">
        <f t="shared" ref="N138:S138" si="14">N135+N137</f>
        <v>0</v>
      </c>
      <c r="O138" s="68">
        <f t="shared" si="14"/>
        <v>0</v>
      </c>
      <c r="P138" s="68" t="e">
        <f t="shared" si="14"/>
        <v>#REF!</v>
      </c>
      <c r="Q138" s="68" t="e">
        <f t="shared" si="14"/>
        <v>#REF!</v>
      </c>
      <c r="R138" s="68" t="e">
        <f t="shared" si="14"/>
        <v>#REF!</v>
      </c>
      <c r="S138" s="68">
        <f t="shared" si="14"/>
        <v>0</v>
      </c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</row>
    <row r="139" spans="1:51" x14ac:dyDescent="0.2">
      <c r="A139" s="251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3"/>
      <c r="O139" s="253"/>
      <c r="P139" s="253"/>
      <c r="Q139" s="253"/>
      <c r="R139" s="253"/>
      <c r="S139" s="253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</row>
    <row r="140" spans="1:51" x14ac:dyDescent="0.2">
      <c r="A140" s="237"/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54"/>
      <c r="O140" s="254"/>
      <c r="P140" s="254"/>
      <c r="Q140" s="254"/>
      <c r="R140" s="254"/>
      <c r="S140" s="254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</row>
    <row r="141" spans="1:51" x14ac:dyDescent="0.2">
      <c r="A141" s="237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47"/>
      <c r="O141" s="247"/>
      <c r="P141" s="247"/>
      <c r="Q141" s="247"/>
      <c r="R141" s="247"/>
      <c r="S141" s="24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</row>
    <row r="142" spans="1:51" x14ac:dyDescent="0.2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47"/>
      <c r="O142" s="247"/>
      <c r="P142" s="247"/>
      <c r="Q142" s="247"/>
      <c r="R142" s="247"/>
      <c r="S142" s="24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</row>
    <row r="143" spans="1:51" x14ac:dyDescent="0.2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47"/>
      <c r="O143" s="247"/>
      <c r="P143" s="247"/>
      <c r="Q143" s="247"/>
      <c r="R143" s="247"/>
      <c r="S143" s="24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</row>
    <row r="144" spans="1:51" x14ac:dyDescent="0.2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54"/>
      <c r="O144" s="254"/>
      <c r="P144" s="254"/>
      <c r="Q144" s="254"/>
      <c r="R144" s="254"/>
      <c r="S144" s="254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</row>
    <row r="145" spans="1:51" x14ac:dyDescent="0.2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47"/>
      <c r="O145" s="247"/>
      <c r="P145" s="247"/>
      <c r="Q145" s="247"/>
      <c r="R145" s="247"/>
      <c r="S145" s="24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</row>
    <row r="146" spans="1:51" x14ac:dyDescent="0.2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</row>
    <row r="147" spans="1:51" x14ac:dyDescent="0.2">
      <c r="A147" s="237"/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</row>
    <row r="148" spans="1:51" x14ac:dyDescent="0.2">
      <c r="A148" s="237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</row>
    <row r="149" spans="1:51" x14ac:dyDescent="0.2">
      <c r="A149" s="237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</row>
    <row r="150" spans="1:51" x14ac:dyDescent="0.2">
      <c r="A150" s="237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</row>
    <row r="151" spans="1:51" x14ac:dyDescent="0.2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</row>
    <row r="152" spans="1:51" x14ac:dyDescent="0.2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</row>
    <row r="153" spans="1:51" x14ac:dyDescent="0.2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</row>
    <row r="154" spans="1:51" x14ac:dyDescent="0.2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</row>
    <row r="155" spans="1:51" x14ac:dyDescent="0.2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</row>
    <row r="156" spans="1:51" x14ac:dyDescent="0.2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</row>
    <row r="157" spans="1:51" x14ac:dyDescent="0.2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</row>
    <row r="158" spans="1:51" x14ac:dyDescent="0.2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</row>
    <row r="159" spans="1:51" x14ac:dyDescent="0.2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</row>
    <row r="160" spans="1:51" x14ac:dyDescent="0.2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</row>
    <row r="161" spans="1:22" x14ac:dyDescent="0.2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</row>
    <row r="162" spans="1:22" x14ac:dyDescent="0.2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</row>
    <row r="163" spans="1:22" x14ac:dyDescent="0.2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</row>
    <row r="164" spans="1:22" x14ac:dyDescent="0.2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</row>
    <row r="165" spans="1:22" x14ac:dyDescent="0.2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</row>
    <row r="166" spans="1:22" x14ac:dyDescent="0.2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</row>
    <row r="167" spans="1:22" x14ac:dyDescent="0.2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</row>
    <row r="168" spans="1:22" x14ac:dyDescent="0.2">
      <c r="A168" s="237"/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</row>
    <row r="169" spans="1:22" x14ac:dyDescent="0.2">
      <c r="A169" s="237"/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</row>
    <row r="170" spans="1:22" x14ac:dyDescent="0.2">
      <c r="A170" s="237"/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</row>
    <row r="171" spans="1:22" x14ac:dyDescent="0.2">
      <c r="A171" s="237"/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</row>
    <row r="172" spans="1:22" x14ac:dyDescent="0.2">
      <c r="A172" s="237"/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</row>
    <row r="173" spans="1:22" x14ac:dyDescent="0.2">
      <c r="A173" s="237"/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</row>
    <row r="174" spans="1:22" x14ac:dyDescent="0.2">
      <c r="A174" s="237"/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</row>
    <row r="175" spans="1:22" x14ac:dyDescent="0.2">
      <c r="A175" s="237"/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</row>
    <row r="176" spans="1:22" x14ac:dyDescent="0.2">
      <c r="A176" s="237"/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</row>
    <row r="177" spans="1:22" x14ac:dyDescent="0.2">
      <c r="A177" s="237"/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</row>
    <row r="178" spans="1:22" x14ac:dyDescent="0.2">
      <c r="A178" s="237"/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</row>
    <row r="179" spans="1:22" x14ac:dyDescent="0.2">
      <c r="A179" s="237"/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</row>
    <row r="180" spans="1:22" x14ac:dyDescent="0.2">
      <c r="A180" s="237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</row>
    <row r="181" spans="1:22" x14ac:dyDescent="0.2">
      <c r="A181" s="237"/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</row>
    <row r="182" spans="1:22" x14ac:dyDescent="0.2">
      <c r="A182" s="237"/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</row>
    <row r="183" spans="1:22" x14ac:dyDescent="0.2">
      <c r="A183" s="237"/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</row>
    <row r="184" spans="1:22" x14ac:dyDescent="0.2">
      <c r="A184" s="237"/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</row>
    <row r="185" spans="1:22" x14ac:dyDescent="0.2">
      <c r="A185" s="237"/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</row>
    <row r="186" spans="1:22" x14ac:dyDescent="0.2">
      <c r="A186" s="237"/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</row>
    <row r="187" spans="1:22" x14ac:dyDescent="0.2">
      <c r="A187" s="237"/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</row>
    <row r="188" spans="1:22" x14ac:dyDescent="0.2">
      <c r="A188" s="237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</row>
    <row r="189" spans="1:22" x14ac:dyDescent="0.2">
      <c r="A189" s="237"/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</row>
    <row r="190" spans="1:22" x14ac:dyDescent="0.2">
      <c r="A190" s="237"/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</row>
    <row r="191" spans="1:22" x14ac:dyDescent="0.2">
      <c r="A191" s="237"/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</row>
    <row r="192" spans="1:22" x14ac:dyDescent="0.2">
      <c r="A192" s="237"/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</row>
    <row r="193" spans="1:22" x14ac:dyDescent="0.2">
      <c r="A193" s="237"/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</row>
    <row r="194" spans="1:22" x14ac:dyDescent="0.2">
      <c r="A194" s="237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</row>
    <row r="195" spans="1:22" x14ac:dyDescent="0.2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</row>
    <row r="196" spans="1:22" x14ac:dyDescent="0.2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</row>
    <row r="197" spans="1:22" x14ac:dyDescent="0.2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</row>
    <row r="198" spans="1:22" x14ac:dyDescent="0.2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</row>
    <row r="199" spans="1:22" x14ac:dyDescent="0.2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</row>
    <row r="200" spans="1:22" x14ac:dyDescent="0.2">
      <c r="A200" s="237"/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</row>
    <row r="201" spans="1:22" x14ac:dyDescent="0.2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</row>
    <row r="202" spans="1:22" x14ac:dyDescent="0.2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</row>
    <row r="203" spans="1:22" x14ac:dyDescent="0.2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</row>
    <row r="204" spans="1:22" x14ac:dyDescent="0.2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</row>
    <row r="205" spans="1:22" x14ac:dyDescent="0.2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</row>
    <row r="206" spans="1:22" x14ac:dyDescent="0.2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</row>
    <row r="207" spans="1:22" x14ac:dyDescent="0.2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</row>
    <row r="208" spans="1:22" x14ac:dyDescent="0.2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</row>
    <row r="209" spans="1:22" x14ac:dyDescent="0.2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</row>
    <row r="210" spans="1:22" x14ac:dyDescent="0.2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</row>
    <row r="211" spans="1:22" x14ac:dyDescent="0.2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</row>
    <row r="212" spans="1:22" x14ac:dyDescent="0.2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</row>
    <row r="213" spans="1:22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</row>
    <row r="214" spans="1:22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</row>
    <row r="215" spans="1:22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</row>
    <row r="216" spans="1:22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</row>
    <row r="217" spans="1:22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</row>
    <row r="218" spans="1:22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</row>
    <row r="219" spans="1:22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22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22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22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  <row r="223" spans="1:22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</row>
    <row r="224" spans="1:22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</row>
    <row r="226" spans="1:22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</row>
    <row r="227" spans="1:22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</row>
    <row r="228" spans="1:22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</row>
    <row r="229" spans="1:22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</row>
    <row r="230" spans="1:22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</row>
    <row r="231" spans="1:22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</row>
    <row r="232" spans="1:22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</row>
    <row r="233" spans="1:22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</row>
    <row r="234" spans="1:22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</row>
    <row r="235" spans="1:22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</row>
    <row r="236" spans="1:22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</row>
    <row r="237" spans="1:22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</row>
    <row r="238" spans="1:22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</row>
    <row r="239" spans="1:22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</row>
    <row r="240" spans="1:22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</row>
    <row r="241" spans="1:22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</row>
    <row r="242" spans="1:22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</row>
    <row r="243" spans="1:22" x14ac:dyDescent="0.2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</row>
    <row r="244" spans="1:22" x14ac:dyDescent="0.2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</row>
    <row r="245" spans="1:22" x14ac:dyDescent="0.2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</row>
    <row r="246" spans="1:22" x14ac:dyDescent="0.2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</row>
    <row r="247" spans="1:22" x14ac:dyDescent="0.2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</row>
    <row r="248" spans="1:22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</row>
    <row r="249" spans="1:22" x14ac:dyDescent="0.2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</row>
    <row r="250" spans="1:22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</row>
    <row r="251" spans="1:22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</row>
    <row r="254" spans="1:22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</row>
    <row r="255" spans="1:22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</row>
    <row r="256" spans="1:22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</row>
    <row r="257" spans="1:22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</row>
    <row r="258" spans="1:22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</row>
    <row r="259" spans="1:22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</row>
    <row r="260" spans="1:22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</row>
    <row r="261" spans="1:22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</row>
    <row r="262" spans="1:22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</row>
    <row r="263" spans="1:22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</row>
    <row r="264" spans="1:22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</row>
    <row r="265" spans="1:22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</row>
    <row r="266" spans="1:22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</row>
    <row r="267" spans="1:22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</row>
    <row r="268" spans="1:22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x14ac:dyDescent="0.2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</row>
    <row r="270" spans="1:22" x14ac:dyDescent="0.2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</row>
    <row r="271" spans="1:22" x14ac:dyDescent="0.2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</row>
    <row r="272" spans="1:22" x14ac:dyDescent="0.2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</row>
    <row r="273" spans="1:22" x14ac:dyDescent="0.2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</row>
    <row r="274" spans="1:22" x14ac:dyDescent="0.2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</row>
    <row r="275" spans="1:22" x14ac:dyDescent="0.2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</row>
    <row r="276" spans="1:22" x14ac:dyDescent="0.2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</row>
    <row r="277" spans="1:22" x14ac:dyDescent="0.2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</row>
    <row r="278" spans="1:22" x14ac:dyDescent="0.2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x14ac:dyDescent="0.2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280" spans="1:22" x14ac:dyDescent="0.2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</row>
    <row r="281" spans="1:22" x14ac:dyDescent="0.2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</row>
    <row r="282" spans="1:22" x14ac:dyDescent="0.2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</row>
    <row r="283" spans="1:22" x14ac:dyDescent="0.2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</row>
    <row r="284" spans="1:22" x14ac:dyDescent="0.2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</row>
    <row r="285" spans="1:22" x14ac:dyDescent="0.2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</row>
    <row r="286" spans="1:22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</row>
    <row r="287" spans="1:22" x14ac:dyDescent="0.2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</row>
    <row r="288" spans="1:22" x14ac:dyDescent="0.2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</row>
    <row r="289" spans="1:22" x14ac:dyDescent="0.2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</row>
    <row r="290" spans="1:22" x14ac:dyDescent="0.2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</row>
    <row r="291" spans="1:22" x14ac:dyDescent="0.2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</row>
    <row r="292" spans="1:22" x14ac:dyDescent="0.2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</row>
    <row r="293" spans="1:22" x14ac:dyDescent="0.2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</row>
    <row r="294" spans="1:22" x14ac:dyDescent="0.2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</row>
    <row r="295" spans="1:22" x14ac:dyDescent="0.2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</row>
    <row r="296" spans="1:22" x14ac:dyDescent="0.2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</row>
    <row r="297" spans="1:22" x14ac:dyDescent="0.2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</row>
    <row r="298" spans="1:22" x14ac:dyDescent="0.2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</row>
    <row r="299" spans="1:22" x14ac:dyDescent="0.2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</row>
    <row r="300" spans="1:22" x14ac:dyDescent="0.2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</row>
    <row r="301" spans="1:22" x14ac:dyDescent="0.2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</row>
    <row r="302" spans="1:22" x14ac:dyDescent="0.2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</row>
    <row r="303" spans="1:22" x14ac:dyDescent="0.2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</row>
    <row r="304" spans="1:22" x14ac:dyDescent="0.2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</row>
    <row r="305" spans="1:22" x14ac:dyDescent="0.2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</row>
    <row r="306" spans="1:22" x14ac:dyDescent="0.2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</row>
    <row r="307" spans="1:22" x14ac:dyDescent="0.2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</row>
    <row r="308" spans="1:22" x14ac:dyDescent="0.2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</row>
    <row r="309" spans="1:22" x14ac:dyDescent="0.2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</row>
    <row r="310" spans="1:22" x14ac:dyDescent="0.2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</row>
    <row r="311" spans="1:22" x14ac:dyDescent="0.2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</row>
    <row r="312" spans="1:22" x14ac:dyDescent="0.2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x14ac:dyDescent="0.2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</row>
    <row r="314" spans="1:22" x14ac:dyDescent="0.2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</row>
    <row r="315" spans="1:22" x14ac:dyDescent="0.2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</row>
    <row r="316" spans="1:22" x14ac:dyDescent="0.2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</row>
    <row r="317" spans="1:22" x14ac:dyDescent="0.2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</row>
    <row r="318" spans="1:22" x14ac:dyDescent="0.2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</row>
    <row r="319" spans="1:22" x14ac:dyDescent="0.2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</row>
    <row r="320" spans="1:22" x14ac:dyDescent="0.2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</row>
    <row r="321" spans="1:22" x14ac:dyDescent="0.2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</row>
  </sheetData>
  <sheetProtection formatCells="0" formatColumns="0" formatRows="0"/>
  <dataConsolidate/>
  <mergeCells count="160">
    <mergeCell ref="D1:D2"/>
    <mergeCell ref="F1:N1"/>
    <mergeCell ref="O1:Q1"/>
    <mergeCell ref="R1:S1"/>
    <mergeCell ref="F2:M2"/>
    <mergeCell ref="A4:J5"/>
    <mergeCell ref="K4:L5"/>
    <mergeCell ref="M4:M5"/>
    <mergeCell ref="P4:Q4"/>
    <mergeCell ref="S6:S7"/>
    <mergeCell ref="A32:M32"/>
    <mergeCell ref="A34:C34"/>
    <mergeCell ref="F34:G34"/>
    <mergeCell ref="H34:I34"/>
    <mergeCell ref="J34:K34"/>
    <mergeCell ref="L34:M34"/>
    <mergeCell ref="M6:M7"/>
    <mergeCell ref="N6:N7"/>
    <mergeCell ref="O6:O7"/>
    <mergeCell ref="P6:P7"/>
    <mergeCell ref="Q6:Q7"/>
    <mergeCell ref="R6:R7"/>
    <mergeCell ref="A6:A7"/>
    <mergeCell ref="B6:D7"/>
    <mergeCell ref="E6:E7"/>
    <mergeCell ref="F6:J6"/>
    <mergeCell ref="K6:K7"/>
    <mergeCell ref="L6:L7"/>
    <mergeCell ref="B35:C35"/>
    <mergeCell ref="F35:G35"/>
    <mergeCell ref="H35:I35"/>
    <mergeCell ref="J35:K35"/>
    <mergeCell ref="L35:M35"/>
    <mergeCell ref="B36:C36"/>
    <mergeCell ref="F36:G36"/>
    <mergeCell ref="H36:I36"/>
    <mergeCell ref="J36:K36"/>
    <mergeCell ref="L36:M36"/>
    <mergeCell ref="B37:C37"/>
    <mergeCell ref="F37:G37"/>
    <mergeCell ref="H37:I37"/>
    <mergeCell ref="J37:K37"/>
    <mergeCell ref="L37:M37"/>
    <mergeCell ref="B38:C38"/>
    <mergeCell ref="F38:G38"/>
    <mergeCell ref="H38:I38"/>
    <mergeCell ref="J38:K38"/>
    <mergeCell ref="L38:M38"/>
    <mergeCell ref="B39:C39"/>
    <mergeCell ref="F39:G39"/>
    <mergeCell ref="H39:I39"/>
    <mergeCell ref="J39:K39"/>
    <mergeCell ref="L39:M39"/>
    <mergeCell ref="B40:C40"/>
    <mergeCell ref="F40:G40"/>
    <mergeCell ref="H40:I40"/>
    <mergeCell ref="J40:K40"/>
    <mergeCell ref="L40:M40"/>
    <mergeCell ref="B41:C41"/>
    <mergeCell ref="F41:G41"/>
    <mergeCell ref="H41:I41"/>
    <mergeCell ref="J41:K41"/>
    <mergeCell ref="L41:M41"/>
    <mergeCell ref="B42:C42"/>
    <mergeCell ref="F42:G42"/>
    <mergeCell ref="H42:I42"/>
    <mergeCell ref="J42:K42"/>
    <mergeCell ref="L42:M42"/>
    <mergeCell ref="B43:C43"/>
    <mergeCell ref="F43:G43"/>
    <mergeCell ref="H43:I43"/>
    <mergeCell ref="J43:K43"/>
    <mergeCell ref="L43:M43"/>
    <mergeCell ref="B44:C44"/>
    <mergeCell ref="F44:G44"/>
    <mergeCell ref="H44:I44"/>
    <mergeCell ref="J44:K44"/>
    <mergeCell ref="L44:M44"/>
    <mergeCell ref="B45:C45"/>
    <mergeCell ref="F45:G45"/>
    <mergeCell ref="H45:I45"/>
    <mergeCell ref="J45:K45"/>
    <mergeCell ref="L45:M45"/>
    <mergeCell ref="B46:C46"/>
    <mergeCell ref="F46:G46"/>
    <mergeCell ref="H46:I46"/>
    <mergeCell ref="J46:K46"/>
    <mergeCell ref="L46:M46"/>
    <mergeCell ref="B47:C47"/>
    <mergeCell ref="F47:G47"/>
    <mergeCell ref="H47:I47"/>
    <mergeCell ref="J47:K47"/>
    <mergeCell ref="L47:M47"/>
    <mergeCell ref="B48:C48"/>
    <mergeCell ref="F48:G48"/>
    <mergeCell ref="H48:I48"/>
    <mergeCell ref="J48:K48"/>
    <mergeCell ref="L48:M48"/>
    <mergeCell ref="B49:C49"/>
    <mergeCell ref="F49:G49"/>
    <mergeCell ref="H49:I49"/>
    <mergeCell ref="J49:K49"/>
    <mergeCell ref="L49:M49"/>
    <mergeCell ref="B50:C50"/>
    <mergeCell ref="F50:G50"/>
    <mergeCell ref="H50:I50"/>
    <mergeCell ref="J50:K50"/>
    <mergeCell ref="L50:M50"/>
    <mergeCell ref="B51:C51"/>
    <mergeCell ref="F51:G51"/>
    <mergeCell ref="H51:I51"/>
    <mergeCell ref="J51:K51"/>
    <mergeCell ref="L51:M51"/>
    <mergeCell ref="B52:C52"/>
    <mergeCell ref="F52:G52"/>
    <mergeCell ref="H52:I52"/>
    <mergeCell ref="J52:K52"/>
    <mergeCell ref="L52:M52"/>
    <mergeCell ref="B53:C53"/>
    <mergeCell ref="F53:G53"/>
    <mergeCell ref="H53:I53"/>
    <mergeCell ref="J53:K53"/>
    <mergeCell ref="L53:M53"/>
    <mergeCell ref="B54:C54"/>
    <mergeCell ref="F54:G54"/>
    <mergeCell ref="H54:I54"/>
    <mergeCell ref="J54:K54"/>
    <mergeCell ref="L54:M54"/>
    <mergeCell ref="B55:C55"/>
    <mergeCell ref="F55:G55"/>
    <mergeCell ref="H55:I55"/>
    <mergeCell ref="J55:K55"/>
    <mergeCell ref="L55:M55"/>
    <mergeCell ref="B56:C56"/>
    <mergeCell ref="F56:G56"/>
    <mergeCell ref="H56:I56"/>
    <mergeCell ref="J56:K56"/>
    <mergeCell ref="L56:M56"/>
    <mergeCell ref="B57:C57"/>
    <mergeCell ref="F57:G57"/>
    <mergeCell ref="H57:I57"/>
    <mergeCell ref="J57:K57"/>
    <mergeCell ref="L57:M57"/>
    <mergeCell ref="B58:C58"/>
    <mergeCell ref="F58:G58"/>
    <mergeCell ref="H58:I58"/>
    <mergeCell ref="J58:K58"/>
    <mergeCell ref="L58:M58"/>
    <mergeCell ref="A108:C108"/>
    <mergeCell ref="E136:M136"/>
    <mergeCell ref="E137:G137"/>
    <mergeCell ref="H137:I137"/>
    <mergeCell ref="J137:K137"/>
    <mergeCell ref="L137:M137"/>
    <mergeCell ref="A59:M59"/>
    <mergeCell ref="A60:M60"/>
    <mergeCell ref="A62:I62"/>
    <mergeCell ref="K62:M62"/>
    <mergeCell ref="A71:C71"/>
    <mergeCell ref="A73:C73"/>
  </mergeCells>
  <conditionalFormatting sqref="M8:M31">
    <cfRule type="expression" dxfId="53" priority="8">
      <formula>$S$4="Multi"</formula>
    </cfRule>
  </conditionalFormatting>
  <conditionalFormatting sqref="A136:M136">
    <cfRule type="expression" dxfId="52" priority="9">
      <formula>$H$137&lt;&gt;"CUSTOM"</formula>
    </cfRule>
  </conditionalFormatting>
  <conditionalFormatting sqref="L35:M58">
    <cfRule type="expression" dxfId="51" priority="1">
      <formula>$R$2="0 Months"</formula>
    </cfRule>
  </conditionalFormatting>
  <conditionalFormatting sqref="F35:G58">
    <cfRule type="expression" dxfId="50" priority="4">
      <formula>$O$2="0 Months"</formula>
    </cfRule>
  </conditionalFormatting>
  <conditionalFormatting sqref="H35:I58">
    <cfRule type="expression" dxfId="49" priority="3">
      <formula>$P$2="0 Months"</formula>
    </cfRule>
  </conditionalFormatting>
  <conditionalFormatting sqref="J35:K58">
    <cfRule type="expression" dxfId="48" priority="2">
      <formula>$Q$2="0 Months"</formula>
    </cfRule>
  </conditionalFormatting>
  <dataValidations count="10">
    <dataValidation type="list" allowBlank="1" showInputMessage="1" showErrorMessage="1" sqref="K8:K31">
      <formula1>"SMR,AY,CAL"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M63:M70">
      <formula1>"Yes,No"</formula1>
    </dataValidation>
    <dataValidation type="list" allowBlank="1" showInputMessage="1" showErrorMessage="1" sqref="H137">
      <formula1>"MTDC,TC,TDC,CUSTOM"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D1">
      <formula1>"NIH,Non-NIH"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3D3C307-F0E6-4751-A812-9B1395DEF09C}">
            <xm:f>#REF!&lt;&gt;'W2'!$A$91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H137:K137 E137</xm:sqref>
        </x14:conditionalFormatting>
        <x14:conditionalFormatting xmlns:xm="http://schemas.microsoft.com/office/excel/2006/main">
          <x14:cfRule type="expression" priority="11" id="{0082B4EB-E236-4490-8F5C-00E34213EC2A}">
            <xm:f>#REF!&lt;&gt;'W2'!$A$91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L137:M137</xm:sqref>
        </x14:conditionalFormatting>
        <x14:conditionalFormatting xmlns:xm="http://schemas.microsoft.com/office/excel/2006/main">
          <x14:cfRule type="expression" priority="12" id="{879FADCC-AC3D-4068-B334-B3E4D9750FA9}">
            <xm:f>#REF!&lt;&gt;'W2'!$A$91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E136:M136</xm:sqref>
        </x14:conditionalFormatting>
        <x14:conditionalFormatting xmlns:xm="http://schemas.microsoft.com/office/excel/2006/main">
          <x14:cfRule type="expression" priority="7" id="{5CAE1C05-B52D-4E0E-BC4C-A5BD7E3195C9}">
            <xm:f>'W2'!$G$5=0</xm:f>
            <x14:dxf>
              <font>
                <color theme="0"/>
              </font>
            </x14:dxf>
          </x14:cfRule>
          <xm:sqref>L35:M58</xm:sqref>
        </x14:conditionalFormatting>
        <x14:conditionalFormatting xmlns:xm="http://schemas.microsoft.com/office/excel/2006/main">
          <x14:cfRule type="expression" priority="6" id="{F8E06BC6-1734-4BC2-A1FE-CFD79BBD2A15}">
            <xm:f>'W2'!$B$5&lt;'W2'!$C$1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5" id="{F89B0521-F5B4-479F-911D-FC875491E3BD}">
            <xm:f>'W2'!$B$5&lt;'W2'!$C$1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'W2'!$A$58:$A$70</xm:f>
          </x14:formula1>
          <xm:sqref>D35:D58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Y394"/>
  <sheetViews>
    <sheetView zoomScaleNormal="100" workbookViewId="0">
      <selection activeCell="B8" sqref="B8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5.42578125" style="39" customWidth="1"/>
    <col min="7" max="7" width="5" style="39" customWidth="1"/>
    <col min="8" max="8" width="5.42578125" style="39" customWidth="1"/>
    <col min="9" max="9" width="5.7109375" style="39" customWidth="1"/>
    <col min="10" max="10" width="5.28515625" style="39" customWidth="1"/>
    <col min="11" max="11" width="4.85546875" style="39" bestFit="1" customWidth="1"/>
    <col min="12" max="12" width="5" style="39" customWidth="1"/>
    <col min="13" max="13" width="4.7109375" style="39" customWidth="1"/>
    <col min="14" max="14" width="9.85546875" style="39" customWidth="1"/>
    <col min="15" max="15" width="9.42578125" style="39" customWidth="1"/>
    <col min="16" max="16" width="10" style="39" bestFit="1" customWidth="1"/>
    <col min="17" max="17" width="10" style="39" customWidth="1"/>
    <col min="18" max="18" width="9.7109375" style="39" customWidth="1"/>
    <col min="19" max="19" width="10.42578125" style="39" customWidth="1"/>
    <col min="20" max="24" width="9.85546875" style="39" bestFit="1" customWidth="1"/>
    <col min="25" max="16384" width="8.85546875" style="39"/>
  </cols>
  <sheetData>
    <row r="1" spans="1:51" ht="13.15" customHeight="1" thickTop="1" thickBot="1" x14ac:dyDescent="0.25">
      <c r="A1" s="109"/>
      <c r="B1" s="107" t="s">
        <v>1</v>
      </c>
      <c r="C1" s="196">
        <v>43009</v>
      </c>
      <c r="D1" s="327" t="s">
        <v>223</v>
      </c>
      <c r="E1" s="228" t="s">
        <v>186</v>
      </c>
      <c r="F1" s="321"/>
      <c r="G1" s="322"/>
      <c r="H1" s="322"/>
      <c r="I1" s="322"/>
      <c r="J1" s="322"/>
      <c r="K1" s="322"/>
      <c r="L1" s="322"/>
      <c r="M1" s="322"/>
      <c r="N1" s="323"/>
      <c r="O1" s="358" t="s">
        <v>151</v>
      </c>
      <c r="P1" s="359"/>
      <c r="Q1" s="359"/>
      <c r="R1" s="391">
        <v>42886</v>
      </c>
      <c r="S1" s="39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3.15" customHeight="1" thickTop="1" x14ac:dyDescent="0.2">
      <c r="A2" s="61"/>
      <c r="B2" s="108" t="s">
        <v>2</v>
      </c>
      <c r="C2" s="196">
        <v>44834</v>
      </c>
      <c r="D2" s="328"/>
      <c r="E2" s="229" t="s">
        <v>8</v>
      </c>
      <c r="F2" s="393"/>
      <c r="G2" s="394"/>
      <c r="H2" s="394"/>
      <c r="I2" s="394"/>
      <c r="J2" s="394"/>
      <c r="K2" s="394"/>
      <c r="L2" s="394"/>
      <c r="M2" s="395"/>
      <c r="N2" s="197" t="s">
        <v>221</v>
      </c>
      <c r="O2" s="198" t="str">
        <f>IF('W9'!D5=1,'W9'!D5&amp;" Month",'W9'!D5&amp;" Months")</f>
        <v>12 Months</v>
      </c>
      <c r="P2" s="198" t="str">
        <f>IF('W9'!E5=1,'W9'!E5&amp;" Month",'W9'!E5&amp;" Months")</f>
        <v>12 Months</v>
      </c>
      <c r="Q2" s="198" t="str">
        <f>IF('W9'!F5=1,'W9'!F5&amp;" Month",'W9'!F5&amp;" Months")</f>
        <v>12 Months</v>
      </c>
      <c r="R2" s="198" t="str">
        <f>IF('W9'!G5=1,'W9'!G5&amp;" Month",'W9'!G5&amp;" Months")</f>
        <v>12 Months</v>
      </c>
      <c r="S2" s="198" t="str">
        <f>IF('W9'!B5=1,'W9'!B5&amp;" Month",'W9'!B5&amp;" Months")</f>
        <v>60 Months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spans="1:51" ht="3" customHeight="1" thickBot="1" x14ac:dyDescent="0.25">
      <c r="C3" s="4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ht="14.45" customHeight="1" thickBot="1" x14ac:dyDescent="0.25">
      <c r="A4" s="396" t="s">
        <v>4</v>
      </c>
      <c r="B4" s="397"/>
      <c r="C4" s="397"/>
      <c r="D4" s="397"/>
      <c r="E4" s="397"/>
      <c r="F4" s="397"/>
      <c r="G4" s="397"/>
      <c r="H4" s="397"/>
      <c r="I4" s="397"/>
      <c r="J4" s="398"/>
      <c r="K4" s="329" t="s">
        <v>178</v>
      </c>
      <c r="L4" s="330"/>
      <c r="M4" s="333" t="s">
        <v>184</v>
      </c>
      <c r="N4" s="264" t="str">
        <f>IF('W9'!B5&gt;='W9'!C1,"",'W9'!B5&amp; " Months")</f>
        <v/>
      </c>
      <c r="O4" s="49"/>
      <c r="P4" s="380" t="s">
        <v>57</v>
      </c>
      <c r="Q4" s="380"/>
      <c r="R4" s="186" t="s">
        <v>215</v>
      </c>
      <c r="S4" s="215" t="s">
        <v>220</v>
      </c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pans="1:51" x14ac:dyDescent="0.2">
      <c r="A5" s="399"/>
      <c r="B5" s="400"/>
      <c r="C5" s="400"/>
      <c r="D5" s="400"/>
      <c r="E5" s="400"/>
      <c r="F5" s="400"/>
      <c r="G5" s="400"/>
      <c r="H5" s="400"/>
      <c r="I5" s="400"/>
      <c r="J5" s="401"/>
      <c r="K5" s="331"/>
      <c r="L5" s="332"/>
      <c r="M5" s="334"/>
      <c r="N5" s="50" t="s">
        <v>134</v>
      </c>
      <c r="O5" s="50" t="s">
        <v>135</v>
      </c>
      <c r="P5" s="50" t="s">
        <v>136</v>
      </c>
      <c r="Q5" s="50" t="s">
        <v>139</v>
      </c>
      <c r="R5" s="50" t="s">
        <v>137</v>
      </c>
      <c r="S5" s="115" t="s">
        <v>13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4.45" customHeight="1" x14ac:dyDescent="0.2">
      <c r="A6" s="337"/>
      <c r="B6" s="335" t="s">
        <v>138</v>
      </c>
      <c r="C6" s="335"/>
      <c r="D6" s="335"/>
      <c r="E6" s="339" t="s">
        <v>213</v>
      </c>
      <c r="F6" s="384" t="s">
        <v>168</v>
      </c>
      <c r="G6" s="385"/>
      <c r="H6" s="385"/>
      <c r="I6" s="385"/>
      <c r="J6" s="385"/>
      <c r="K6" s="353" t="s">
        <v>14</v>
      </c>
      <c r="L6" s="354" t="s">
        <v>64</v>
      </c>
      <c r="M6" s="355" t="s">
        <v>133</v>
      </c>
      <c r="N6" s="341" t="str">
        <f>TEXT('W9'!C2,"m/d/yy")&amp;"-"&amp;TEXT('W9'!C3,"m/d/yy")</f>
        <v>10/1/17-9/30/18</v>
      </c>
      <c r="O6" s="341" t="str">
        <f>TEXT('W9'!D2,"m/d/yy")&amp;"-"&amp;TEXT('W9'!D3,"m/d/yy")</f>
        <v>10/1/18-9/30/19</v>
      </c>
      <c r="P6" s="341" t="str">
        <f>TEXT('W9'!E2,"m/d/yy")&amp;"-"&amp;TEXT('W9'!E3,"m/d/yy")</f>
        <v>10/1/19-9/30/20</v>
      </c>
      <c r="Q6" s="341" t="str">
        <f>TEXT('W9'!F2,"m/d/yy")&amp;"-"&amp;TEXT('W9'!F3,"m/d/yy")</f>
        <v>10/1/20-9/30/21</v>
      </c>
      <c r="R6" s="341" t="str">
        <f>TEXT('W9'!G2,"m/d/yy")&amp;"-"&amp;TEXT('W9'!G3,"m/d/yy")</f>
        <v>10/1/21-9/30/22</v>
      </c>
      <c r="S6" s="341" t="str">
        <f>TEXT('W9'!B2,"m/d/yy")&amp;"-"&amp;TEXT('W9'!B3,"m/d/yy")</f>
        <v>10/1/17-9/30/22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</row>
    <row r="7" spans="1:51" x14ac:dyDescent="0.2">
      <c r="A7" s="338"/>
      <c r="B7" s="336"/>
      <c r="C7" s="336"/>
      <c r="D7" s="336"/>
      <c r="E7" s="340"/>
      <c r="F7" s="270" t="s">
        <v>169</v>
      </c>
      <c r="G7" s="270" t="s">
        <v>170</v>
      </c>
      <c r="H7" s="270" t="s">
        <v>171</v>
      </c>
      <c r="I7" s="270" t="s">
        <v>172</v>
      </c>
      <c r="J7" s="270" t="s">
        <v>173</v>
      </c>
      <c r="K7" s="353"/>
      <c r="L7" s="354"/>
      <c r="M7" s="355"/>
      <c r="N7" s="342"/>
      <c r="O7" s="342"/>
      <c r="P7" s="342"/>
      <c r="Q7" s="342"/>
      <c r="R7" s="342"/>
      <c r="S7" s="342"/>
      <c r="T7" s="246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1:51" x14ac:dyDescent="0.2">
      <c r="A8" s="192">
        <v>1</v>
      </c>
      <c r="B8" s="193"/>
      <c r="C8" s="193"/>
      <c r="D8" s="194"/>
      <c r="E8" s="195"/>
      <c r="F8" s="221"/>
      <c r="G8" s="221"/>
      <c r="H8" s="221"/>
      <c r="I8" s="221"/>
      <c r="J8" s="221"/>
      <c r="K8" s="190" t="s">
        <v>176</v>
      </c>
      <c r="L8" s="190">
        <v>12</v>
      </c>
      <c r="M8" s="191">
        <v>0.03</v>
      </c>
      <c r="N8" s="187">
        <f ca="1">IF(AND($S$4="Multi",$R$4="FY"),ROUNDUP(((1+$M8)^'W9'!$B$20*'W9'!$C$9+(1+$M8)^('W9'!$B$20+1)*'W9'!$C$10)/12*'R9'!$E8*'R9'!$F8,0),(IF(AND($S$4="Multi",$R$4="PY"),ROUND($E8*$F8/12*'W9'!$C$5,0),(IF(AND($S$4&lt;&gt;"Multi",$R$4="FY"),ROUND(((1+$S$4)^'W9'!$B$20*'W9'!$C$9+(1+$S$4)^('W9'!$B$20+1)*'W9'!$C$10)/12*'R9'!$E8*'R9'!$F8,0),ROUND($E8*$F8/12*'W9'!$C$5,0))))))</f>
        <v>0</v>
      </c>
      <c r="O8" s="187">
        <f ca="1">IF('W9'!$C$4='W9'!$D$4,(IF(AND($S$4="Multi",$R$4="FY"),ROUND(((1+$M8)^('W9'!$B$20)*'W9'!$D$9+(1+$M8)^('W9'!$B$20+1)*'W9'!$D$10)/12*'R9'!$E8*'R9'!$G8,0),(IF(AND($S$4="Multi",$R$4="PY"),ROUND($E8*$G8*(1+M8)/12*'W9'!$D$5,0),(IF(AND($S$4&lt;&gt;"Multi",$R$4="FY"),ROUND(((1+$S$4)^('W9'!$B$20)*'W9'!$D$9+(1+$S$4)^('W9'!$B$20+1)*'W9'!$D$10)/12*'R9'!$E8*'R9'!$G8,0),ROUND($E8*$G8*(1+$S$4)/12*'W9'!$D$5,0))))))),(IF(AND($S$4="Multi",$R$4="FY"),ROUND(((1+$M8)^('W9'!$B$20+1)*'W9'!$D$9+(1+$M8)^('W9'!$B$20+2)*'W9'!$D$10)/12*'R9'!$E8*'R9'!$G8,0),(IF(AND($S$4="Multi",$R$4="PY"),ROUND($E8*$G8*(1+M8)/12*'W9'!$D$5,0),(IF(AND($S$4&lt;&gt;"Multi",$R$4="FY"),ROUND(((1+$S$4)^('W9'!$B$20+1)*'W9'!$D$9+(1+$S$4)^('W9'!$B$20+2)*'W9'!$D$10)/12*'R9'!$E8*'R9'!$G8,0),ROUND($E8*$G8*(1+$S$4)/12*'W9'!$D$5,0))))))))</f>
        <v>0</v>
      </c>
      <c r="P8" s="187">
        <f ca="1">IF('W9'!$C$4='W9'!$D$4,(IF(AND($S$4="Multi",$R$4="FY"),ROUND(((1+$M8)^('W9'!$B$20+1)*'W9'!$E$9+(1+$M8)^('W9'!$B$20+2)*'W9'!$E$10)/12*'R9'!$E8*'R9'!H8,0),(IF(AND($S$4="Multi",$R$4="PY"),ROUND($E8*H8*((1+$M8)^2)/12*'W9'!$E$5,0),(IF(AND($S$4&lt;&gt;"Multi",$R$4="FY"),ROUND(((1+$S$4)^('W9'!$B$20+1)*'W9'!$E$9+(1+$S$4)^('W9'!$B$20+2)*'W9'!$E$10)/12*'R9'!$E8*'R9'!H8,0),ROUND($E8*H8*((1+$S$4)^2)/12*'W9'!$E$5,0))))))),(IF(AND($S$4="Multi",$R$4="FY"),ROUND(((1+$M8)^('W9'!$B$20+2)*'W9'!$E$9+(1+$M8)^('W9'!$B$20+3)*'W9'!$E$10)/12*'R9'!$E8*'R9'!H8,0),(IF(AND($S$4="Multi",$R$4="PY"),ROUND($E8*H8*((1+$M8)^2)/12*'W9'!$E$5,0),(IF(AND($S$4&lt;&gt;"Multi",$R$4="FY"),ROUND(((1+$S$4)^('W9'!$B$20+2)*'W9'!$E$9+(1+$S$4)^('W9'!$B$20+3)*'W9'!$E$10)/12*'R9'!$E8*'R9'!H8,0),ROUND($E8*H8*((1+$S$4)^2)/12*'W9'!$E$5,0))))))))</f>
        <v>0</v>
      </c>
      <c r="Q8" s="187">
        <f ca="1">IF('W9'!$C$4='W9'!$D$4,(IF(AND($S$4="Multi",$R$4="FY"),ROUND(((1+$M8)^('W9'!$B$20+2)*'W9'!$F$9+(1+$M8)^('W9'!$B$20+3)*'W9'!$F$10)/12*'R9'!$E8*'R9'!$I8,0),(IF(AND($S$4="Multi",$R$4="PY"),ROUND($E8*$I8*((1+$M8)^3)/12*'W9'!$F$5,0),(IF(AND($S$4&lt;&gt;"Multi",$R$4="FY"),ROUND(((1+$S$4)^('W9'!$B$20+2)*'W9'!$F$9+(1+$S$4)^('W9'!$B$20+3)*'W9'!$F$10)/12*'R9'!$E8*'R9'!$I8,0),ROUND($E8*$I8*((1+$S$4)^3)/12*'W9'!$F$5,0))))))),(IF(AND($S$4="Multi",$R$4="FY"),ROUND(((1+$M8)^('W9'!$B$20+3)*'W9'!$F$9+(1+$M8)^('W9'!$B$20+4)*'W9'!$F$10)/12*'R9'!$E8*'R9'!$I8,0),(IF(AND($S$4="Multi",$R$4="PY"),ROUND($E8*$I8*((1+$M8)^3)/12*'W9'!$F$5,0),(IF(AND($S$4&lt;&gt;"Multi",$R$4="FY"),ROUND(((1+$S$4)^('W9'!$B$20+3)*'W9'!$F$9+(1+$S$4)^('W9'!$B$20+4)*'W9'!$F$10)/12*'R9'!$E8*'R9'!$I8,0),ROUND($E8*$I8*((1+$S$4)^3)/12*'W9'!$F$5,0))))))))</f>
        <v>0</v>
      </c>
      <c r="R8" s="187">
        <f ca="1">IF('W9'!$C$4='W9'!$D$4,(IF(AND($S$4="Multi",$R$4="FY"),ROUND(((1+$M8)^('W9'!$B$20+3)*'W9'!$G$9+(1+$M8)^('W9'!$B$20+4)*'W9'!$G$10)/12*'R9'!$E8*'R9'!$J8,0),(IF(AND($S$4="Multi",$R$4="PY"),ROUND($E8*$J8*((1+$M8)^4)/12*'W9'!$G$5,0),(IF(AND($S$4&lt;&gt;"Multi",$R$4="FY"),ROUND(((1+$S$4)^('W9'!$B$20+3)*'W9'!$G$9+(1+$S$4)^('W9'!$B$20+4)*'W9'!$G$10)/12*'R9'!$E8*'R9'!$J8,0),ROUND($E8*$J8*((1+$S$4)^4)/12*'W9'!$G$5,0))))))),(IF(AND($S$4="Multi",$R$4="FY"),ROUND(((1+$M8)^('W9'!$B$20+4)*'W9'!$G$9+(1+$M8)^('W9'!$B$20+5)*'W9'!$G$10)/12*'R9'!$E8*'R9'!$J8,0),(IF(AND($S$4="Multi",$R$4="PY"),ROUND($E8*$J8*((1+$M8)^4)/12*'W9'!$G$5,0),(IF(AND($S$4&lt;&gt;"Multi",$R$4="FY"),ROUND(((1+$S$4)^('W9'!$B$20+4)*'W9'!$G$9+(1+$S$4)^('W9'!$B$20+5)*'W9'!$G$10)/12*'R9'!$E8*'R9'!$J8,0),ROUND($E8*$J8*((1+$S$4)^4)/12*'W9'!$G$5,0))))))))</f>
        <v>0</v>
      </c>
      <c r="S8" s="188">
        <f ca="1">SUM(N8:R8)</f>
        <v>0</v>
      </c>
      <c r="T8" s="246"/>
      <c r="U8" s="246"/>
      <c r="V8" s="246"/>
      <c r="W8" s="246"/>
      <c r="X8" s="246"/>
      <c r="Y8" s="247"/>
      <c r="Z8" s="247"/>
      <c r="AA8" s="247"/>
      <c r="AB8" s="247"/>
      <c r="AC8" s="24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</row>
    <row r="9" spans="1:51" x14ac:dyDescent="0.2">
      <c r="A9" s="192">
        <v>2</v>
      </c>
      <c r="B9" s="193"/>
      <c r="C9" s="193"/>
      <c r="D9" s="262"/>
      <c r="E9" s="195"/>
      <c r="F9" s="221"/>
      <c r="G9" s="221"/>
      <c r="H9" s="221"/>
      <c r="I9" s="221"/>
      <c r="J9" s="221"/>
      <c r="K9" s="190" t="s">
        <v>176</v>
      </c>
      <c r="L9" s="190">
        <v>12</v>
      </c>
      <c r="M9" s="191">
        <v>0.03</v>
      </c>
      <c r="N9" s="187">
        <f ca="1">IF(AND($S$4="Multi",$R$4="FY"),ROUND(((1+$M9)^'W9'!$B$20*'W9'!$C$9+(1+$M9)^('W9'!$B$20+1)*'W9'!$C$10)/12*'R9'!$E9*'R9'!$F9,0),(IF(AND($S$4="Multi",$R$4="PY"),ROUND(E9*F9/12*'W9'!$C$5,0),(IF(AND($S$4&lt;&gt;"Multi",$R$4="FY"),ROUND(((1+$S$4)^'W9'!$B$20*'W9'!$C$9+(1+$S$4)^('W9'!$B$20+1)*'W9'!$C$10)/12*'R9'!$E9*'R9'!$F9,0),ROUND($E9*$F9/12*'W9'!$C$5,0))))))</f>
        <v>0</v>
      </c>
      <c r="O9" s="187">
        <f ca="1">IF('W9'!$C$4='W9'!$D$4,(IF(AND($S$4="Multi",$R$4="FY"),ROUND(((1+$M9)^('W9'!$B$20)*'W9'!$D$9+(1+$M9)^('W9'!$B$20+1)*'W9'!$D$10)/12*'R9'!$E9*'R9'!$G9,0),(IF(AND($S$4="Multi",$R$4="PY"),ROUND($E9*$G9*(1+M9)/12*'W9'!$D$5,0),(IF(AND($S$4&lt;&gt;"Multi",$R$4="FY"),ROUND(((1+$S$4)^('W9'!$B$20)*'W9'!$D$9+(1+$S$4)^('W9'!$B$20+1)*'W9'!$D$10)/12*'R9'!$E9*'R9'!$G9,0),ROUND($E9*$G9*(1+$S$4)/12*'W9'!$D$5,0))))))),(IF(AND($S$4="Multi",$R$4="FY"),ROUND(((1+$M9)^('W9'!$B$20+1)*'W9'!$D$9+(1+$M9)^('W9'!$B$20+2)*'W9'!$D$10)/12*'R9'!$E9*'R9'!$G9,0),(IF(AND($S$4="Multi",$R$4="PY"),ROUND($E9*$G9*(1+M9)/12*'W9'!$D$5,0),(IF(AND($S$4&lt;&gt;"Multi",$R$4="FY"),ROUND(((1+$S$4)^('W9'!$B$20+1)*'W9'!$D$9+(1+$S$4)^('W9'!$B$20+2)*'W9'!$D$10)/12*'R9'!$E9*'R9'!$G9,0),ROUND($E9*$G9*(1+$S$4)/12*'W9'!$D$5,0))))))))</f>
        <v>0</v>
      </c>
      <c r="P9" s="187">
        <f ca="1">IF('W9'!$C$4='W9'!$D$4,(IF(AND($S$4="Multi",$R$4="FY"),ROUND(((1+$M9)^('W9'!$B$20+1)*'W9'!$E$9+(1+$M9)^('W9'!$B$20+2)*'W9'!$E$10)/12*'R9'!$E9*'R9'!H9,0),(IF(AND($S$4="Multi",$R$4="PY"),ROUND($E9*H9*((1+$M9)^2)/12*'W9'!$E$5,0),(IF(AND($S$4&lt;&gt;"Multi",$R$4="FY"),ROUND(((1+$S$4)^('W9'!$B$20+1)*'W9'!$E$9+(1+$S$4)^('W9'!$B$20+2)*'W9'!$E$10)/12*'R9'!$E9*'R9'!H9,0),ROUND($E9*H9*((1+$S$4)^2)/12*'W9'!$E$5,0))))))),(IF(AND($S$4="Multi",$R$4="FY"),ROUND(((1+$M9)^('W9'!$B$20+2)*'W9'!$E$9+(1+$M9)^('W9'!$B$20+3)*'W9'!$E$10)/12*'R9'!$E9*'R9'!H9,0),(IF(AND($S$4="Multi",$R$4="PY"),ROUND($E9*H9*((1+$M9)^2)/12*'W9'!$E$5,0),(IF(AND($S$4&lt;&gt;"Multi",$R$4="FY"),ROUND(((1+$S$4)^('W9'!$B$20+2)*'W9'!$E$9+(1+$S$4)^('W9'!$B$20+3)*'W9'!$E$10)/12*'R9'!$E9*'R9'!H9,0),ROUND($E9*H9*((1+$S$4)^2)/12*'W9'!$E$5,0))))))))</f>
        <v>0</v>
      </c>
      <c r="Q9" s="187">
        <f ca="1">IF('W9'!$C$4='W9'!$D$4,(IF(AND($S$4="Multi",$R$4="FY"),ROUND(((1+$M9)^('W9'!$B$20+2)*'W9'!$F$9+(1+$M9)^('W9'!$B$20+3)*'W9'!$F$10)/12*'R9'!$E9*'R9'!$I9,0),(IF(AND($S$4="Multi",$R$4="PY"),ROUND($E9*$I9*((1+$M9)^3)/12*'W9'!$F$5,0),(IF(AND($S$4&lt;&gt;"Multi",$R$4="FY"),ROUND(((1+$S$4)^('W9'!$B$20+2)*'W9'!$F$9+(1+$S$4)^('W9'!$B$20+3)*'W9'!$F$10)/12*'R9'!$E9*'R9'!$I9,0),ROUND($E9*$I9*((1+$S$4)^3)/12*'W9'!$F$5,0))))))),(IF(AND($S$4="Multi",$R$4="FY"),ROUND(((1+$M9)^('W9'!$B$20+3)*'W9'!$F$9+(1+$M9)^('W9'!$B$20+4)*'W9'!$F$10)/12*'R9'!$E9*'R9'!$I9,0),(IF(AND($S$4="Multi",$R$4="PY"),ROUND($E9*$I9*((1+$M9)^3)/12*'W9'!$F$5,0),(IF(AND($S$4&lt;&gt;"Multi",$R$4="FY"),ROUND(((1+$S$4)^('W9'!$B$20+3)*'W9'!$F$9+(1+$S$4)^('W9'!$B$20+4)*'W9'!$F$10)/12*'R9'!$E9*'R9'!$I9,0),ROUND($E9*$I9*((1+$S$4)^3)/12*'W9'!$F$5,0))))))))</f>
        <v>0</v>
      </c>
      <c r="R9" s="187">
        <f ca="1">IF('W9'!$C$4='W9'!$D$4,(IF(AND($S$4="Multi",$R$4="FY"),ROUND(((1+$M9)^('W9'!$B$20+3)*'W9'!$G$9+(1+$M9)^('W9'!$B$20+4)*'W9'!$G$10)/12*'R9'!$E9*'R9'!$J9,0),(IF(AND($S$4="Multi",$R$4="PY"),ROUND($E9*$J9*((1+$M9)^4)/12*'W9'!$G$5,0),(IF(AND($S$4&lt;&gt;"Multi",$R$4="FY"),ROUND(((1+$S$4)^('W9'!$B$20+3)*'W9'!$G$9+(1+$S$4)^('W9'!$B$20+4)*'W9'!$G$10)/12*'R9'!$E9*'R9'!$J9,0),ROUND($E9*$J9*((1+$S$4)^4)/12*'W9'!$G$5,0))))))),(IF(AND($S$4="Multi",$R$4="FY"),ROUND(((1+$M9)^('W9'!$B$20+4)*'W9'!$G$9+(1+$M9)^('W9'!$B$20+5)*'W9'!$G$10)/12*'R9'!$E9*'R9'!$J9,0),(IF(AND($S$4="Multi",$R$4="PY"),ROUND($E9*$J9*((1+$M9)^4)/12*'W9'!$G$5,0),(IF(AND($S$4&lt;&gt;"Multi",$R$4="FY"),ROUND(((1+$S$4)^('W9'!$B$20+4)*'W9'!$G$9+(1+$S$4)^('W9'!$B$20+5)*'W9'!$G$10)/12*'R9'!$E9*'R9'!$J9,0),ROUND($E9*$J9*((1+$S$4)^4)/12*'W9'!$G$5,0))))))))</f>
        <v>0</v>
      </c>
      <c r="S9" s="188">
        <f t="shared" ref="S9:S31" ca="1" si="0">SUM(N9:R9)</f>
        <v>0</v>
      </c>
      <c r="T9" s="246"/>
      <c r="U9" s="246"/>
      <c r="V9" s="246"/>
      <c r="W9" s="246"/>
      <c r="X9" s="246"/>
      <c r="Y9" s="247"/>
      <c r="Z9" s="247"/>
      <c r="AA9" s="247"/>
      <c r="AB9" s="247"/>
      <c r="AC9" s="24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x14ac:dyDescent="0.2">
      <c r="A10" s="192">
        <v>3</v>
      </c>
      <c r="B10" s="193"/>
      <c r="C10" s="193"/>
      <c r="D10" s="194"/>
      <c r="E10" s="195"/>
      <c r="F10" s="221"/>
      <c r="G10" s="221"/>
      <c r="H10" s="221"/>
      <c r="I10" s="221"/>
      <c r="J10" s="221"/>
      <c r="K10" s="190" t="s">
        <v>176</v>
      </c>
      <c r="L10" s="190">
        <v>12</v>
      </c>
      <c r="M10" s="191">
        <v>0.03</v>
      </c>
      <c r="N10" s="187">
        <f ca="1">IF(AND($S$4="Multi",$R$4="FY"),ROUND(((1+$M10)^'W9'!$B$20*'W9'!$C$9+(1+$M10)^('W9'!$B$20+1)*'W9'!$C$10)/12*'R9'!$E10*'R9'!$F10,0),(IF(AND($S$4="Multi",$R$4="PY"),ROUND(E10*F10/12*'W9'!$C$5,0),(IF(AND($S$4&lt;&gt;"Multi",$R$4="FY"),ROUND(((1+$S$4)^'W9'!$B$20*'W9'!$C$9+(1+$S$4)^('W9'!$B$20+1)*'W9'!$C$10)/12*'R9'!$E10*'R9'!$F10,0),ROUND($E10*$F10/12*'W9'!$C$5,0))))))</f>
        <v>0</v>
      </c>
      <c r="O10" s="187">
        <f ca="1">IF('W9'!$C$4='W9'!$D$4,(IF(AND($S$4="Multi",$R$4="FY"),ROUND(((1+$M10)^('W9'!$B$20)*'W9'!$D$9+(1+$M10)^('W9'!$B$20+1)*'W9'!$D$10)/12*'R9'!$E10*'R9'!$G10,0),(IF(AND($S$4="Multi",$R$4="PY"),ROUND($E10*$G10*(1+M10)/12*'W9'!$D$5,0),(IF(AND($S$4&lt;&gt;"Multi",$R$4="FY"),ROUND(((1+$S$4)^('W9'!$B$20)*'W9'!$D$9+(1+$S$4)^('W9'!$B$20+1)*'W9'!$D$10)/12*'R9'!$E10*'R9'!$G10,0),ROUND($E10*$G10*(1+$S$4)/12*'W9'!$D$5,0))))))),(IF(AND($S$4="Multi",$R$4="FY"),ROUND(((1+$M10)^('W9'!$B$20+1)*'W9'!$D$9+(1+$M10)^('W9'!$B$20+2)*'W9'!$D$10)/12*'R9'!$E10*'R9'!$G10,0),(IF(AND($S$4="Multi",$R$4="PY"),ROUND($E10*$G10*(1+M10)/12*'W9'!$D$5,0),(IF(AND($S$4&lt;&gt;"Multi",$R$4="FY"),ROUND(((1+$S$4)^('W9'!$B$20+1)*'W9'!$D$9+(1+$S$4)^('W9'!$B$20+2)*'W9'!$D$10)/12*'R9'!$E10*'R9'!$G10,0),ROUND($E10*$G10*(1+$S$4)/12*'W9'!$D$5,0))))))))</f>
        <v>0</v>
      </c>
      <c r="P10" s="187">
        <f ca="1">IF('W9'!$C$4='W9'!$D$4,(IF(AND($S$4="Multi",$R$4="FY"),ROUND(((1+$M10)^('W9'!$B$20+1)*'W9'!$E$9+(1+$M10)^('W9'!$B$20+2)*'W9'!$E$10)/12*'R9'!$E10*'R9'!H10,0),(IF(AND($S$4="Multi",$R$4="PY"),ROUND($E10*H10*((1+$M10)^2)/12*'W9'!$E$5,0),(IF(AND($S$4&lt;&gt;"Multi",$R$4="FY"),ROUND(((1+$S$4)^('W9'!$B$20+1)*'W9'!$E$9+(1+$S$4)^('W9'!$B$20+2)*'W9'!$E$10)/12*'R9'!$E10*'R9'!H10,0),ROUND($E10*H10*((1+$S$4)^2)/12*'W9'!$E$5,0))))))),(IF(AND($S$4="Multi",$R$4="FY"),ROUND(((1+$M10)^('W9'!$B$20+2)*'W9'!$E$9+(1+$M10)^('W9'!$B$20+3)*'W9'!$E$10)/12*'R9'!$E10*'R9'!H10,0),(IF(AND($S$4="Multi",$R$4="PY"),ROUND($E10*H10*((1+$M10)^2)/12*'W9'!$E$5,0),(IF(AND($S$4&lt;&gt;"Multi",$R$4="FY"),ROUND(((1+$S$4)^('W9'!$B$20+2)*'W9'!$E$9+(1+$S$4)^('W9'!$B$20+3)*'W9'!$E$10)/12*'R9'!$E10*'R9'!H10,0),ROUND($E10*H10*((1+$S$4)^2)/12*'W9'!$E$5,0))))))))</f>
        <v>0</v>
      </c>
      <c r="Q10" s="187">
        <f ca="1">IF('W9'!$C$4='W9'!$D$4,(IF(AND($S$4="Multi",$R$4="FY"),ROUND(((1+$M10)^('W9'!$B$20+2)*'W9'!$F$9+(1+$M10)^('W9'!$B$20+3)*'W9'!$F$10)/12*'R9'!$E10*'R9'!$I10,0),(IF(AND($S$4="Multi",$R$4="PY"),ROUND($E10*$I10*((1+$M10)^3)/12*'W9'!$F$5,0),(IF(AND($S$4&lt;&gt;"Multi",$R$4="FY"),ROUND(((1+$S$4)^('W9'!$B$20+2)*'W9'!$F$9+(1+$S$4)^('W9'!$B$20+3)*'W9'!$F$10)/12*'R9'!$E10*'R9'!$I10,0),ROUND($E10*$I10*((1+$S$4)^3)/12*'W9'!$F$5,0))))))),(IF(AND($S$4="Multi",$R$4="FY"),ROUND(((1+$M10)^('W9'!$B$20+3)*'W9'!$F$9+(1+$M10)^('W9'!$B$20+4)*'W9'!$F$10)/12*'R9'!$E10*'R9'!$I10,0),(IF(AND($S$4="Multi",$R$4="PY"),ROUND($E10*$I10*((1+$M10)^3)/12*'W9'!$F$5,0),(IF(AND($S$4&lt;&gt;"Multi",$R$4="FY"),ROUND(((1+$S$4)^('W9'!$B$20+3)*'W9'!$F$9+(1+$S$4)^('W9'!$B$20+4)*'W9'!$F$10)/12*'R9'!$E10*'R9'!$I10,0),ROUND($E10*$I10*((1+$S$4)^3)/12*'W9'!$F$5,0))))))))</f>
        <v>0</v>
      </c>
      <c r="R10" s="187">
        <f ca="1">IF('W9'!$C$4='W9'!$D$4,(IF(AND($S$4="Multi",$R$4="FY"),ROUND(((1+$M10)^('W9'!$B$20+3)*'W9'!$G$9+(1+$M10)^('W9'!$B$20+4)*'W9'!$G$10)/12*'R9'!$E10*'R9'!$J10,0),(IF(AND($S$4="Multi",$R$4="PY"),ROUND($E10*$J10*((1+$M10)^4)/12*'W9'!$G$5,0),(IF(AND($S$4&lt;&gt;"Multi",$R$4="FY"),ROUND(((1+$S$4)^('W9'!$B$20+3)*'W9'!$G$9+(1+$S$4)^('W9'!$B$20+4)*'W9'!$G$10)/12*'R9'!$E10*'R9'!$J10,0),ROUND($E10*$J10*((1+$S$4)^4)/12*'W9'!$G$5,0))))))),(IF(AND($S$4="Multi",$R$4="FY"),ROUND(((1+$M10)^('W9'!$B$20+4)*'W9'!$G$9+(1+$M10)^('W9'!$B$20+5)*'W9'!$G$10)/12*'R9'!$E10*'R9'!$J10,0),(IF(AND($S$4="Multi",$R$4="PY"),ROUND($E10*$J10*((1+$M10)^4)/12*'W9'!$G$5,0),(IF(AND($S$4&lt;&gt;"Multi",$R$4="FY"),ROUND(((1+$S$4)^('W9'!$B$20+4)*'W9'!$G$9+(1+$S$4)^('W9'!$B$20+5)*'W9'!$G$10)/12*'R9'!$E10*'R9'!$J10,0),ROUND($E10*$J10*((1+$S$4)^4)/12*'W9'!$G$5,0))))))))</f>
        <v>0</v>
      </c>
      <c r="S10" s="188">
        <f t="shared" ca="1" si="0"/>
        <v>0</v>
      </c>
      <c r="T10" s="246"/>
      <c r="U10" s="246"/>
      <c r="V10" s="246"/>
      <c r="W10" s="246"/>
      <c r="X10" s="246"/>
      <c r="Y10" s="247"/>
      <c r="Z10" s="247"/>
      <c r="AA10" s="247"/>
      <c r="AB10" s="247"/>
      <c r="AC10" s="24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x14ac:dyDescent="0.2">
      <c r="A11" s="192">
        <v>4</v>
      </c>
      <c r="B11" s="193"/>
      <c r="C11" s="193"/>
      <c r="D11" s="194"/>
      <c r="E11" s="195"/>
      <c r="F11" s="221"/>
      <c r="G11" s="221"/>
      <c r="H11" s="221"/>
      <c r="I11" s="221"/>
      <c r="J11" s="221"/>
      <c r="K11" s="190" t="s">
        <v>176</v>
      </c>
      <c r="L11" s="190">
        <v>12</v>
      </c>
      <c r="M11" s="191">
        <v>0.03</v>
      </c>
      <c r="N11" s="187">
        <f ca="1">IF(AND($S$4="Multi",$R$4="FY"),ROUND(((1+$M11)^'W9'!$B$20*'W9'!$C$9+(1+$M11)^('W9'!$B$20+1)*'W9'!$C$10)/12*'R9'!$E11*'R9'!$F11,0),(IF(AND($S$4="Multi",$R$4="PY"),ROUND(E11*F11/12*'W9'!$C$5,0),(IF(AND($S$4&lt;&gt;"Multi",$R$4="FY"),ROUND(((1+$S$4)^'W9'!$B$20*'W9'!$C$9+(1+$S$4)^('W9'!$B$20+1)*'W9'!$C$10)/12*'R9'!$E11*'R9'!$F11,0),ROUND($E11*$F11/12*'W9'!$C$5,0))))))</f>
        <v>0</v>
      </c>
      <c r="O11" s="187">
        <f ca="1">IF('W9'!$C$4='W9'!$D$4,(IF(AND($S$4="Multi",$R$4="FY"),ROUND(((1+$M11)^('W9'!$B$20)*'W9'!$D$9+(1+$M11)^('W9'!$B$20+1)*'W9'!$D$10)/12*'R9'!$E11*'R9'!$G11,0),(IF(AND($S$4="Multi",$R$4="PY"),ROUND($E11*$G11*(1+M11)/12*'W9'!$D$5,0),(IF(AND($S$4&lt;&gt;"Multi",$R$4="FY"),ROUND(((1+$S$4)^('W9'!$B$20)*'W9'!$D$9+(1+$S$4)^('W9'!$B$20+1)*'W9'!$D$10)/12*'R9'!$E11*'R9'!$G11,0),ROUND($E11*$G11*(1+$S$4)/12*'W9'!$D$5,0))))))),(IF(AND($S$4="Multi",$R$4="FY"),ROUND(((1+$M11)^('W9'!$B$20+1)*'W9'!$D$9+(1+$M11)^('W9'!$B$20+2)*'W9'!$D$10)/12*'R9'!$E11*'R9'!$G11,0),(IF(AND($S$4="Multi",$R$4="PY"),ROUND($E11*$G11*(1+M11)/12*'W9'!$D$5,0),(IF(AND($S$4&lt;&gt;"Multi",$R$4="FY"),ROUND(((1+$S$4)^('W9'!$B$20+1)*'W9'!$D$9+(1+$S$4)^('W9'!$B$20+2)*'W9'!$D$10)/12*'R9'!$E11*'R9'!$G11,0),ROUND($E11*$G11*(1+$S$4)/12*'W9'!$D$5,0))))))))</f>
        <v>0</v>
      </c>
      <c r="P11" s="187">
        <f ca="1">IF('W9'!$C$4='W9'!$D$4,(IF(AND($S$4="Multi",$R$4="FY"),ROUND(((1+$M11)^('W9'!$B$20+1)*'W9'!$E$9+(1+$M11)^('W9'!$B$20+2)*'W9'!$E$10)/12*'R9'!$E11*'R9'!H11,0),(IF(AND($S$4="Multi",$R$4="PY"),ROUND($E11*H11*((1+$M11)^2)/12*'W9'!$E$5,0),(IF(AND($S$4&lt;&gt;"Multi",$R$4="FY"),ROUND(((1+$S$4)^('W9'!$B$20+1)*'W9'!$E$9+(1+$S$4)^('W9'!$B$20+2)*'W9'!$E$10)/12*'R9'!$E11*'R9'!H11,0),ROUND($E11*H11*((1+$S$4)^2)/12*'W9'!$E$5,0))))))),(IF(AND($S$4="Multi",$R$4="FY"),ROUND(((1+$M11)^('W9'!$B$20+2)*'W9'!$E$9+(1+$M11)^('W9'!$B$20+3)*'W9'!$E$10)/12*'R9'!$E11*'R9'!H11,0),(IF(AND($S$4="Multi",$R$4="PY"),ROUND($E11*H11*((1+$M11)^2)/12*'W9'!$E$5,0),(IF(AND($S$4&lt;&gt;"Multi",$R$4="FY"),ROUND(((1+$S$4)^('W9'!$B$20+2)*'W9'!$E$9+(1+$S$4)^('W9'!$B$20+3)*'W9'!$E$10)/12*'R9'!$E11*'R9'!H11,0),ROUND($E11*H11*((1+$S$4)^2)/12*'W9'!$E$5,0))))))))</f>
        <v>0</v>
      </c>
      <c r="Q11" s="187">
        <f ca="1">IF('W9'!$C$4='W9'!$D$4,(IF(AND($S$4="Multi",$R$4="FY"),ROUND(((1+$M11)^('W9'!$B$20+2)*'W9'!$F$9+(1+$M11)^('W9'!$B$20+3)*'W9'!$F$10)/12*'R9'!$E11*'R9'!$I11,0),(IF(AND($S$4="Multi",$R$4="PY"),ROUND($E11*$I11*((1+$M11)^3)/12*'W9'!$F$5,0),(IF(AND($S$4&lt;&gt;"Multi",$R$4="FY"),ROUND(((1+$S$4)^('W9'!$B$20+2)*'W9'!$F$9+(1+$S$4)^('W9'!$B$20+3)*'W9'!$F$10)/12*'R9'!$E11*'R9'!$I11,0),ROUND($E11*$I11*((1+$S$4)^3)/12*'W9'!$F$5,0))))))),(IF(AND($S$4="Multi",$R$4="FY"),ROUND(((1+$M11)^('W9'!$B$20+3)*'W9'!$F$9+(1+$M11)^('W9'!$B$20+4)*'W9'!$F$10)/12*'R9'!$E11*'R9'!$I11,0),(IF(AND($S$4="Multi",$R$4="PY"),ROUND($E11*$I11*((1+$M11)^3)/12*'W9'!$F$5,0),(IF(AND($S$4&lt;&gt;"Multi",$R$4="FY"),ROUND(((1+$S$4)^('W9'!$B$20+3)*'W9'!$F$9+(1+$S$4)^('W9'!$B$20+4)*'W9'!$F$10)/12*'R9'!$E11*'R9'!$I11,0),ROUND($E11*$I11*((1+$S$4)^3)/12*'W9'!$F$5,0))))))))</f>
        <v>0</v>
      </c>
      <c r="R11" s="187">
        <f ca="1">IF('W9'!$C$4='W9'!$D$4,(IF(AND($S$4="Multi",$R$4="FY"),ROUND(((1+$M11)^('W9'!$B$20+3)*'W9'!$G$9+(1+$M11)^('W9'!$B$20+4)*'W9'!$G$10)/12*'R9'!$E11*'R9'!$J11,0),(IF(AND($S$4="Multi",$R$4="PY"),ROUND($E11*$J11*((1+$M11)^4)/12*'W9'!$G$5,0),(IF(AND($S$4&lt;&gt;"Multi",$R$4="FY"),ROUND(((1+$S$4)^('W9'!$B$20+3)*'W9'!$G$9+(1+$S$4)^('W9'!$B$20+4)*'W9'!$G$10)/12*'R9'!$E11*'R9'!$J11,0),ROUND($E11*$J11*((1+$S$4)^4)/12*'W9'!$G$5,0))))))),(IF(AND($S$4="Multi",$R$4="FY"),ROUND(((1+$M11)^('W9'!$B$20+4)*'W9'!$G$9+(1+$M11)^('W9'!$B$20+5)*'W9'!$G$10)/12*'R9'!$E11*'R9'!$J11,0),(IF(AND($S$4="Multi",$R$4="PY"),ROUND($E11*$J11*((1+$M11)^4)/12*'W9'!$G$5,0),(IF(AND($S$4&lt;&gt;"Multi",$R$4="FY"),ROUND(((1+$S$4)^('W9'!$B$20+4)*'W9'!$G$9+(1+$S$4)^('W9'!$B$20+5)*'W9'!$G$10)/12*'R9'!$E11*'R9'!$J11,0),ROUND($E11*$J11*((1+$S$4)^4)/12*'W9'!$G$5,0))))))))</f>
        <v>0</v>
      </c>
      <c r="S11" s="188">
        <f t="shared" ca="1" si="0"/>
        <v>0</v>
      </c>
      <c r="T11" s="246"/>
      <c r="U11" s="246"/>
      <c r="V11" s="246"/>
      <c r="W11" s="246"/>
      <c r="X11" s="246"/>
      <c r="Y11" s="247"/>
      <c r="Z11" s="247"/>
      <c r="AA11" s="247"/>
      <c r="AB11" s="247"/>
      <c r="AC11" s="24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x14ac:dyDescent="0.2">
      <c r="A12" s="192">
        <v>5</v>
      </c>
      <c r="B12" s="193"/>
      <c r="C12" s="193"/>
      <c r="D12" s="194"/>
      <c r="E12" s="195"/>
      <c r="F12" s="221"/>
      <c r="G12" s="221"/>
      <c r="H12" s="221"/>
      <c r="I12" s="221"/>
      <c r="J12" s="221"/>
      <c r="K12" s="190" t="s">
        <v>176</v>
      </c>
      <c r="L12" s="190">
        <v>12</v>
      </c>
      <c r="M12" s="191">
        <v>0.03</v>
      </c>
      <c r="N12" s="187">
        <f ca="1">IF(AND($S$4="Multi",$R$4="FY"),ROUND(((1+$M12)^'W9'!$B$20*'W9'!$C$9+(1+$M12)^('W9'!$B$20+1)*'W9'!$C$10)/12*'R9'!$E12*'R9'!$F12,0),(IF(AND($S$4="Multi",$R$4="PY"),ROUND(E12*F12/12*'W9'!$C$5,0),(IF(AND($S$4&lt;&gt;"Multi",$R$4="FY"),ROUND(((1+$S$4)^'W9'!$B$20*'W9'!$C$9+(1+$S$4)^('W9'!$B$20+1)*'W9'!$C$10)/12*'R9'!$E12*'R9'!$F12,0),ROUND($E12*$F12/12*'W9'!$C$5,0))))))</f>
        <v>0</v>
      </c>
      <c r="O12" s="187">
        <f ca="1">IF('W9'!$C$4='W9'!$D$4,(IF(AND($S$4="Multi",$R$4="FY"),ROUND(((1+$M12)^('W9'!$B$20)*'W9'!$D$9+(1+$M12)^('W9'!$B$20+1)*'W9'!$D$10)/12*'R9'!$E12*'R9'!$G12,0),(IF(AND($S$4="Multi",$R$4="PY"),ROUND($E12*$G12*(1+M12)/12*'W9'!$D$5,0),(IF(AND($S$4&lt;&gt;"Multi",$R$4="FY"),ROUND(((1+$S$4)^('W9'!$B$20)*'W9'!$D$9+(1+$S$4)^('W9'!$B$20+1)*'W9'!$D$10)/12*'R9'!$E12*'R9'!$G12,0),ROUND($E12*$G12*(1+$S$4)/12*'W9'!$D$5,0))))))),(IF(AND($S$4="Multi",$R$4="FY"),ROUND(((1+$M12)^('W9'!$B$20+1)*'W9'!$D$9+(1+$M12)^('W9'!$B$20+2)*'W9'!$D$10)/12*'R9'!$E12*'R9'!$G12,0),(IF(AND($S$4="Multi",$R$4="PY"),ROUND($E12*$G12*(1+M12)/12*'W9'!$D$5,0),(IF(AND($S$4&lt;&gt;"Multi",$R$4="FY"),ROUND(((1+$S$4)^('W9'!$B$20+1)*'W9'!$D$9+(1+$S$4)^('W9'!$B$20+2)*'W9'!$D$10)/12*'R9'!$E12*'R9'!$G12,0),ROUND($E12*$G12*(1+$S$4)/12*'W9'!$D$5,0))))))))</f>
        <v>0</v>
      </c>
      <c r="P12" s="187">
        <f ca="1">IF('W9'!$C$4='W9'!$D$4,(IF(AND($S$4="Multi",$R$4="FY"),ROUND(((1+$M12)^('W9'!$B$20+1)*'W9'!$E$9+(1+$M12)^('W9'!$B$20+2)*'W9'!$E$10)/12*'R9'!$E12*'R9'!H12,0),(IF(AND($S$4="Multi",$R$4="PY"),ROUND($E12*H12*((1+$M12)^2)/12*'W9'!$E$5,0),(IF(AND($S$4&lt;&gt;"Multi",$R$4="FY"),ROUND(((1+$S$4)^('W9'!$B$20+1)*'W9'!$E$9+(1+$S$4)^('W9'!$B$20+2)*'W9'!$E$10)/12*'R9'!$E12*'R9'!H12,0),ROUND($E12*H12*((1+$S$4)^2)/12*'W9'!$E$5,0))))))),(IF(AND($S$4="Multi",$R$4="FY"),ROUND(((1+$M12)^('W9'!$B$20+2)*'W9'!$E$9+(1+$M12)^('W9'!$B$20+3)*'W9'!$E$10)/12*'R9'!$E12*'R9'!H12,0),(IF(AND($S$4="Multi",$R$4="PY"),ROUND($E12*H12*((1+$M12)^2)/12*'W9'!$E$5,0),(IF(AND($S$4&lt;&gt;"Multi",$R$4="FY"),ROUND(((1+$S$4)^('W9'!$B$20+2)*'W9'!$E$9+(1+$S$4)^('W9'!$B$20+3)*'W9'!$E$10)/12*'R9'!$E12*'R9'!H12,0),ROUND($E12*H12*((1+$S$4)^2)/12*'W9'!$E$5,0))))))))</f>
        <v>0</v>
      </c>
      <c r="Q12" s="187">
        <f ca="1">IF('W9'!$C$4='W9'!$D$4,(IF(AND($S$4="Multi",$R$4="FY"),ROUND(((1+$M12)^('W9'!$B$20+2)*'W9'!$F$9+(1+$M12)^('W9'!$B$20+3)*'W9'!$F$10)/12*'R9'!$E12*'R9'!$I12,0),(IF(AND($S$4="Multi",$R$4="PY"),ROUND($E12*$I12*((1+$M12)^3)/12*'W9'!$F$5,0),(IF(AND($S$4&lt;&gt;"Multi",$R$4="FY"),ROUND(((1+$S$4)^('W9'!$B$20+2)*'W9'!$F$9+(1+$S$4)^('W9'!$B$20+3)*'W9'!$F$10)/12*'R9'!$E12*'R9'!$I12,0),ROUND($E12*$I12*((1+$S$4)^3)/12*'W9'!$F$5,0))))))),(IF(AND($S$4="Multi",$R$4="FY"),ROUND(((1+$M12)^('W9'!$B$20+3)*'W9'!$F$9+(1+$M12)^('W9'!$B$20+4)*'W9'!$F$10)/12*'R9'!$E12*'R9'!$I12,0),(IF(AND($S$4="Multi",$R$4="PY"),ROUND($E12*$I12*((1+$M12)^3)/12*'W9'!$F$5,0),(IF(AND($S$4&lt;&gt;"Multi",$R$4="FY"),ROUND(((1+$S$4)^('W9'!$B$20+3)*'W9'!$F$9+(1+$S$4)^('W9'!$B$20+4)*'W9'!$F$10)/12*'R9'!$E12*'R9'!$I12,0),ROUND($E12*$I12*((1+$S$4)^3)/12*'W9'!$F$5,0))))))))</f>
        <v>0</v>
      </c>
      <c r="R12" s="187">
        <f ca="1">IF('W9'!$C$4='W9'!$D$4,(IF(AND($S$4="Multi",$R$4="FY"),ROUND(((1+$M12)^('W9'!$B$20+3)*'W9'!$G$9+(1+$M12)^('W9'!$B$20+4)*'W9'!$G$10)/12*'R9'!$E12*'R9'!$J12,0),(IF(AND($S$4="Multi",$R$4="PY"),ROUND($E12*$J12*((1+$M12)^4)/12*'W9'!$G$5,0),(IF(AND($S$4&lt;&gt;"Multi",$R$4="FY"),ROUND(((1+$S$4)^('W9'!$B$20+3)*'W9'!$G$9+(1+$S$4)^('W9'!$B$20+4)*'W9'!$G$10)/12*'R9'!$E12*'R9'!$J12,0),ROUND($E12*$J12*((1+$S$4)^4)/12*'W9'!$G$5,0))))))),(IF(AND($S$4="Multi",$R$4="FY"),ROUND(((1+$M12)^('W9'!$B$20+4)*'W9'!$G$9+(1+$M12)^('W9'!$B$20+5)*'W9'!$G$10)/12*'R9'!$E12*'R9'!$J12,0),(IF(AND($S$4="Multi",$R$4="PY"),ROUND($E12*$J12*((1+$M12)^4)/12*'W9'!$G$5,0),(IF(AND($S$4&lt;&gt;"Multi",$R$4="FY"),ROUND(((1+$S$4)^('W9'!$B$20+4)*'W9'!$G$9+(1+$S$4)^('W9'!$B$20+5)*'W9'!$G$10)/12*'R9'!$E12*'R9'!$J12,0),ROUND($E12*$J12*((1+$S$4)^4)/12*'W9'!$G$5,0))))))))</f>
        <v>0</v>
      </c>
      <c r="S12" s="188">
        <f t="shared" ca="1" si="0"/>
        <v>0</v>
      </c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x14ac:dyDescent="0.2">
      <c r="A13" s="192">
        <v>6</v>
      </c>
      <c r="B13" s="193"/>
      <c r="C13" s="193"/>
      <c r="D13" s="194"/>
      <c r="E13" s="195"/>
      <c r="F13" s="221"/>
      <c r="G13" s="221"/>
      <c r="H13" s="221"/>
      <c r="I13" s="221"/>
      <c r="J13" s="221"/>
      <c r="K13" s="190" t="s">
        <v>176</v>
      </c>
      <c r="L13" s="190">
        <v>12</v>
      </c>
      <c r="M13" s="191">
        <v>0.03</v>
      </c>
      <c r="N13" s="187">
        <f ca="1">IF(AND($S$4="Multi",$R$4="FY"),ROUND(((1+$M13)^'W9'!$B$20*'W9'!$C$9+(1+$M13)^('W9'!$B$20+1)*'W9'!$C$10)/12*'R9'!$E13*'R9'!$F13,0),(IF(AND($S$4="Multi",$R$4="PY"),ROUND(E13*F13/12*'W9'!$C$5,0),(IF(AND($S$4&lt;&gt;"Multi",$R$4="FY"),ROUND(((1+$S$4)^'W9'!$B$20*'W9'!$C$9+(1+$S$4)^('W9'!$B$20+1)*'W9'!$C$10)/12*'R9'!$E13*'R9'!$F13,0),ROUND($E13*$F13/12*'W9'!$C$5,0))))))</f>
        <v>0</v>
      </c>
      <c r="O13" s="187">
        <f ca="1">IF('W9'!$C$4='W9'!$D$4,(IF(AND($S$4="Multi",$R$4="FY"),ROUND(((1+$M13)^('W9'!$B$20)*'W9'!$D$9+(1+$M13)^('W9'!$B$20+1)*'W9'!$D$10)/12*'R9'!$E13*'R9'!$G13,0),(IF(AND($S$4="Multi",$R$4="PY"),ROUND($E13*$G13*(1+M13)/12*'W9'!$D$5,0),(IF(AND($S$4&lt;&gt;"Multi",$R$4="FY"),ROUND(((1+$S$4)^('W9'!$B$20)*'W9'!$D$9+(1+$S$4)^('W9'!$B$20+1)*'W9'!$D$10)/12*'R9'!$E13*'R9'!$G13,0),ROUND($E13*$G13*(1+$S$4)/12*'W9'!$D$5,0))))))),(IF(AND($S$4="Multi",$R$4="FY"),ROUND(((1+$M13)^('W9'!$B$20+1)*'W9'!$D$9+(1+$M13)^('W9'!$B$20+2)*'W9'!$D$10)/12*'R9'!$E13*'R9'!$G13,0),(IF(AND($S$4="Multi",$R$4="PY"),ROUND($E13*$G13*(1+M13)/12*'W9'!$D$5,0),(IF(AND($S$4&lt;&gt;"Multi",$R$4="FY"),ROUND(((1+$S$4)^('W9'!$B$20+1)*'W9'!$D$9+(1+$S$4)^('W9'!$B$20+2)*'W9'!$D$10)/12*'R9'!$E13*'R9'!$G13,0),ROUND($E13*$G13*(1+$S$4)/12*'W9'!$D$5,0))))))))</f>
        <v>0</v>
      </c>
      <c r="P13" s="187">
        <f ca="1">IF('W9'!$C$4='W9'!$D$4,(IF(AND($S$4="Multi",$R$4="FY"),ROUND(((1+$M13)^('W9'!$B$20+1)*'W9'!$E$9+(1+$M13)^('W9'!$B$20+2)*'W9'!$E$10)/12*'R9'!$E13*'R9'!H13,0),(IF(AND($S$4="Multi",$R$4="PY"),ROUND($E13*H13*((1+$M13)^2)/12*'W9'!$E$5,0),(IF(AND($S$4&lt;&gt;"Multi",$R$4="FY"),ROUND(((1+$S$4)^('W9'!$B$20+1)*'W9'!$E$9+(1+$S$4)^('W9'!$B$20+2)*'W9'!$E$10)/12*'R9'!$E13*'R9'!H13,0),ROUND($E13*H13*((1+$S$4)^2)/12*'W9'!$E$5,0))))))),(IF(AND($S$4="Multi",$R$4="FY"),ROUND(((1+$M13)^('W9'!$B$20+2)*'W9'!$E$9+(1+$M13)^('W9'!$B$20+3)*'W9'!$E$10)/12*'R9'!$E13*'R9'!H13,0),(IF(AND($S$4="Multi",$R$4="PY"),ROUND($E13*H13*((1+$M13)^2)/12*'W9'!$E$5,0),(IF(AND($S$4&lt;&gt;"Multi",$R$4="FY"),ROUND(((1+$S$4)^('W9'!$B$20+2)*'W9'!$E$9+(1+$S$4)^('W9'!$B$20+3)*'W9'!$E$10)/12*'R9'!$E13*'R9'!H13,0),ROUND($E13*H13*((1+$S$4)^2)/12*'W9'!$E$5,0))))))))</f>
        <v>0</v>
      </c>
      <c r="Q13" s="187">
        <f ca="1">IF('W9'!$C$4='W9'!$D$4,(IF(AND($S$4="Multi",$R$4="FY"),ROUND(((1+$M13)^('W9'!$B$20+2)*'W9'!$F$9+(1+$M13)^('W9'!$B$20+3)*'W9'!$F$10)/12*'R9'!$E13*'R9'!$I13,0),(IF(AND($S$4="Multi",$R$4="PY"),ROUND($E13*$I13*((1+$M13)^3)/12*'W9'!$F$5,0),(IF(AND($S$4&lt;&gt;"Multi",$R$4="FY"),ROUND(((1+$S$4)^('W9'!$B$20+2)*'W9'!$F$9+(1+$S$4)^('W9'!$B$20+3)*'W9'!$F$10)/12*'R9'!$E13*'R9'!$I13,0),ROUND($E13*$I13*((1+$S$4)^3)/12*'W9'!$F$5,0))))))),(IF(AND($S$4="Multi",$R$4="FY"),ROUND(((1+$M13)^('W9'!$B$20+3)*'W9'!$F$9+(1+$M13)^('W9'!$B$20+4)*'W9'!$F$10)/12*'R9'!$E13*'R9'!$I13,0),(IF(AND($S$4="Multi",$R$4="PY"),ROUND($E13*$I13*((1+$M13)^3)/12*'W9'!$F$5,0),(IF(AND($S$4&lt;&gt;"Multi",$R$4="FY"),ROUND(((1+$S$4)^('W9'!$B$20+3)*'W9'!$F$9+(1+$S$4)^('W9'!$B$20+4)*'W9'!$F$10)/12*'R9'!$E13*'R9'!$I13,0),ROUND($E13*$I13*((1+$S$4)^3)/12*'W9'!$F$5,0))))))))</f>
        <v>0</v>
      </c>
      <c r="R13" s="187">
        <f ca="1">IF('W9'!$C$4='W9'!$D$4,(IF(AND($S$4="Multi",$R$4="FY"),ROUND(((1+$M13)^('W9'!$B$20+3)*'W9'!$G$9+(1+$M13)^('W9'!$B$20+4)*'W9'!$G$10)/12*'R9'!$E13*'R9'!$J13,0),(IF(AND($S$4="Multi",$R$4="PY"),ROUND($E13*$J13*((1+$M13)^4)/12*'W9'!$G$5,0),(IF(AND($S$4&lt;&gt;"Multi",$R$4="FY"),ROUND(((1+$S$4)^('W9'!$B$20+3)*'W9'!$G$9+(1+$S$4)^('W9'!$B$20+4)*'W9'!$G$10)/12*'R9'!$E13*'R9'!$J13,0),ROUND($E13*$J13*((1+$S$4)^4)/12*'W9'!$G$5,0))))))),(IF(AND($S$4="Multi",$R$4="FY"),ROUND(((1+$M13)^('W9'!$B$20+4)*'W9'!$G$9+(1+$M13)^('W9'!$B$20+5)*'W9'!$G$10)/12*'R9'!$E13*'R9'!$J13,0),(IF(AND($S$4="Multi",$R$4="PY"),ROUND($E13*$J13*((1+$M13)^4)/12*'W9'!$G$5,0),(IF(AND($S$4&lt;&gt;"Multi",$R$4="FY"),ROUND(((1+$S$4)^('W9'!$B$20+4)*'W9'!$G$9+(1+$S$4)^('W9'!$B$20+5)*'W9'!$G$10)/12*'R9'!$E13*'R9'!$J13,0),ROUND($E13*$J13*((1+$S$4)^4)/12*'W9'!$G$5,0))))))))</f>
        <v>0</v>
      </c>
      <c r="S13" s="188">
        <f t="shared" ca="1" si="0"/>
        <v>0</v>
      </c>
      <c r="T13" s="246"/>
      <c r="U13" s="246"/>
      <c r="V13" s="246"/>
      <c r="W13" s="246"/>
      <c r="X13" s="246"/>
      <c r="Y13" s="247"/>
      <c r="Z13" s="247"/>
      <c r="AA13" s="247"/>
      <c r="AB13" s="247"/>
      <c r="AC13" s="24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x14ac:dyDescent="0.2">
      <c r="A14" s="192">
        <v>7</v>
      </c>
      <c r="B14" s="193"/>
      <c r="C14" s="193"/>
      <c r="D14" s="194"/>
      <c r="E14" s="195"/>
      <c r="F14" s="221"/>
      <c r="G14" s="221"/>
      <c r="H14" s="221"/>
      <c r="I14" s="221"/>
      <c r="J14" s="221"/>
      <c r="K14" s="190" t="s">
        <v>176</v>
      </c>
      <c r="L14" s="190">
        <v>12</v>
      </c>
      <c r="M14" s="191">
        <v>0.03</v>
      </c>
      <c r="N14" s="187">
        <f ca="1">IF(AND($S$4="Multi",$R$4="FY"),ROUND(((1+$M14)^'W9'!$B$20*'W9'!$C$9+(1+$M14)^('W9'!$B$20+1)*'W9'!$C$10)/12*'R9'!$E14*'R9'!$F14,0),(IF(AND($S$4="Multi",$R$4="PY"),ROUND(E14*F14/12*'W9'!$C$5,0),(IF(AND($S$4&lt;&gt;"Multi",$R$4="FY"),ROUND(((1+$S$4)^'W9'!$B$20*'W9'!$C$9+(1+$S$4)^('W9'!$B$20+1)*'W9'!$C$10)/12*'R9'!$E14*'R9'!$F14,0),ROUND($E14*$F14/12*'W9'!$C$5,0))))))</f>
        <v>0</v>
      </c>
      <c r="O14" s="187">
        <f ca="1">IF('W9'!$C$4='W9'!$D$4,(IF(AND($S$4="Multi",$R$4="FY"),ROUND(((1+$M14)^('W9'!$B$20)*'W9'!$D$9+(1+$M14)^('W9'!$B$20+1)*'W9'!$D$10)/12*'R9'!$E14*'R9'!$G14,0),(IF(AND($S$4="Multi",$R$4="PY"),ROUND($E14*$G14*(1+M14)/12*'W9'!$D$5,0),(IF(AND($S$4&lt;&gt;"Multi",$R$4="FY"),ROUND(((1+$S$4)^('W9'!$B$20)*'W9'!$D$9+(1+$S$4)^('W9'!$B$20+1)*'W9'!$D$10)/12*'R9'!$E14*'R9'!$G14,0),ROUND($E14*$G14*(1+$S$4)/12*'W9'!$D$5,0))))))),(IF(AND($S$4="Multi",$R$4="FY"),ROUND(((1+$M14)^('W9'!$B$20+1)*'W9'!$D$9+(1+$M14)^('W9'!$B$20+2)*'W9'!$D$10)/12*'R9'!$E14*'R9'!$G14,0),(IF(AND($S$4="Multi",$R$4="PY"),ROUND($E14*$G14*(1+M14)/12*'W9'!$D$5,0),(IF(AND($S$4&lt;&gt;"Multi",$R$4="FY"),ROUND(((1+$S$4)^('W9'!$B$20+1)*'W9'!$D$9+(1+$S$4)^('W9'!$B$20+2)*'W9'!$D$10)/12*'R9'!$E14*'R9'!$G14,0),ROUND($E14*$G14*(1+$S$4)/12*'W9'!$D$5,0))))))))</f>
        <v>0</v>
      </c>
      <c r="P14" s="187">
        <f ca="1">IF('W9'!$C$4='W9'!$D$4,(IF(AND($S$4="Multi",$R$4="FY"),ROUND(((1+$M14)^('W9'!$B$20+1)*'W9'!$E$9+(1+$M14)^('W9'!$B$20+2)*'W9'!$E$10)/12*'R9'!$E14*'R9'!H14,0),(IF(AND($S$4="Multi",$R$4="PY"),ROUND($E14*H14*((1+$M14)^2)/12*'W9'!$E$5,0),(IF(AND($S$4&lt;&gt;"Multi",$R$4="FY"),ROUND(((1+$S$4)^('W9'!$B$20+1)*'W9'!$E$9+(1+$S$4)^('W9'!$B$20+2)*'W9'!$E$10)/12*'R9'!$E14*'R9'!H14,0),ROUND($E14*H14*((1+$S$4)^2)/12*'W9'!$E$5,0))))))),(IF(AND($S$4="Multi",$R$4="FY"),ROUND(((1+$M14)^('W9'!$B$20+2)*'W9'!$E$9+(1+$M14)^('W9'!$B$20+3)*'W9'!$E$10)/12*'R9'!$E14*'R9'!H14,0),(IF(AND($S$4="Multi",$R$4="PY"),ROUND($E14*H14*((1+$M14)^2)/12*'W9'!$E$5,0),(IF(AND($S$4&lt;&gt;"Multi",$R$4="FY"),ROUND(((1+$S$4)^('W9'!$B$20+2)*'W9'!$E$9+(1+$S$4)^('W9'!$B$20+3)*'W9'!$E$10)/12*'R9'!$E14*'R9'!H14,0),ROUND($E14*H14*((1+$S$4)^2)/12*'W9'!$E$5,0))))))))</f>
        <v>0</v>
      </c>
      <c r="Q14" s="187">
        <f ca="1">IF('W9'!$C$4='W9'!$D$4,(IF(AND($S$4="Multi",$R$4="FY"),ROUND(((1+$M14)^('W9'!$B$20+2)*'W9'!$F$9+(1+$M14)^('W9'!$B$20+3)*'W9'!$F$10)/12*'R9'!$E14*'R9'!$I14,0),(IF(AND($S$4="Multi",$R$4="PY"),ROUND($E14*$I14*((1+$M14)^3)/12*'W9'!$F$5,0),(IF(AND($S$4&lt;&gt;"Multi",$R$4="FY"),ROUND(((1+$S$4)^('W9'!$B$20+2)*'W9'!$F$9+(1+$S$4)^('W9'!$B$20+3)*'W9'!$F$10)/12*'R9'!$E14*'R9'!$I14,0),ROUND($E14*$I14*((1+$S$4)^3)/12*'W9'!$F$5,0))))))),(IF(AND($S$4="Multi",$R$4="FY"),ROUND(((1+$M14)^('W9'!$B$20+3)*'W9'!$F$9+(1+$M14)^('W9'!$B$20+4)*'W9'!$F$10)/12*'R9'!$E14*'R9'!$I14,0),(IF(AND($S$4="Multi",$R$4="PY"),ROUND($E14*$I14*((1+$M14)^3)/12*'W9'!$F$5,0),(IF(AND($S$4&lt;&gt;"Multi",$R$4="FY"),ROUND(((1+$S$4)^('W9'!$B$20+3)*'W9'!$F$9+(1+$S$4)^('W9'!$B$20+4)*'W9'!$F$10)/12*'R9'!$E14*'R9'!$I14,0),ROUND($E14*$I14*((1+$S$4)^3)/12*'W9'!$F$5,0))))))))</f>
        <v>0</v>
      </c>
      <c r="R14" s="187">
        <f ca="1">IF('W9'!$C$4='W9'!$D$4,(IF(AND($S$4="Multi",$R$4="FY"),ROUND(((1+$M14)^('W9'!$B$20+3)*'W9'!$G$9+(1+$M14)^('W9'!$B$20+4)*'W9'!$G$10)/12*'R9'!$E14*'R9'!$J14,0),(IF(AND($S$4="Multi",$R$4="PY"),ROUND($E14*$J14*((1+$M14)^4)/12*'W9'!$G$5,0),(IF(AND($S$4&lt;&gt;"Multi",$R$4="FY"),ROUND(((1+$S$4)^('W9'!$B$20+3)*'W9'!$G$9+(1+$S$4)^('W9'!$B$20+4)*'W9'!$G$10)/12*'R9'!$E14*'R9'!$J14,0),ROUND($E14*$J14*((1+$S$4)^4)/12*'W9'!$G$5,0))))))),(IF(AND($S$4="Multi",$R$4="FY"),ROUND(((1+$M14)^('W9'!$B$20+4)*'W9'!$G$9+(1+$M14)^('W9'!$B$20+5)*'W9'!$G$10)/12*'R9'!$E14*'R9'!$J14,0),(IF(AND($S$4="Multi",$R$4="PY"),ROUND($E14*$J14*((1+$M14)^4)/12*'W9'!$G$5,0),(IF(AND($S$4&lt;&gt;"Multi",$R$4="FY"),ROUND(((1+$S$4)^('W9'!$B$20+4)*'W9'!$G$9+(1+$S$4)^('W9'!$B$20+5)*'W9'!$G$10)/12*'R9'!$E14*'R9'!$J14,0),ROUND($E14*$J14*((1+$S$4)^4)/12*'W9'!$G$5,0))))))))</f>
        <v>0</v>
      </c>
      <c r="S14" s="188">
        <f t="shared" ca="1" si="0"/>
        <v>0</v>
      </c>
      <c r="T14" s="246"/>
      <c r="U14" s="246"/>
      <c r="V14" s="246"/>
      <c r="W14" s="246"/>
      <c r="X14" s="246"/>
      <c r="Y14" s="247"/>
      <c r="Z14" s="247"/>
      <c r="AA14" s="247"/>
      <c r="AB14" s="247"/>
      <c r="AC14" s="24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x14ac:dyDescent="0.2">
      <c r="A15" s="192">
        <v>8</v>
      </c>
      <c r="B15" s="193"/>
      <c r="C15" s="193"/>
      <c r="D15" s="194"/>
      <c r="E15" s="195"/>
      <c r="F15" s="221"/>
      <c r="G15" s="221"/>
      <c r="H15" s="221"/>
      <c r="I15" s="221"/>
      <c r="J15" s="221"/>
      <c r="K15" s="190" t="s">
        <v>176</v>
      </c>
      <c r="L15" s="190">
        <v>12</v>
      </c>
      <c r="M15" s="191">
        <v>0.03</v>
      </c>
      <c r="N15" s="187">
        <f ca="1">IF(AND($S$4="Multi",$R$4="FY"),ROUND(((1+$M15)^'W9'!$B$20*'W9'!$C$9+(1+$M15)^('W9'!$B$20+1)*'W9'!$C$10)/12*'R9'!$E15*'R9'!$F15,0),(IF(AND($S$4="Multi",$R$4="PY"),ROUND(E15*F15/12*'W9'!$C$5,0),(IF(AND($S$4&lt;&gt;"Multi",$R$4="FY"),ROUND(((1+$S$4)^'W9'!$B$20*'W9'!$C$9+(1+$S$4)^('W9'!$B$20+1)*'W9'!$C$10)/12*'R9'!$E15*'R9'!$F15,0),ROUND($E15*$F15/12*'W9'!$C$5,0))))))</f>
        <v>0</v>
      </c>
      <c r="O15" s="187">
        <f ca="1">IF('W9'!$C$4='W9'!$D$4,(IF(AND($S$4="Multi",$R$4="FY"),ROUND(((1+$M15)^('W9'!$B$20)*'W9'!$D$9+(1+$M15)^('W9'!$B$20+1)*'W9'!$D$10)/12*'R9'!$E15*'R9'!$G15,0),(IF(AND($S$4="Multi",$R$4="PY"),ROUND($E15*$G15*(1+M15)/12*'W9'!$D$5,0),(IF(AND($S$4&lt;&gt;"Multi",$R$4="FY"),ROUND(((1+$S$4)^('W9'!$B$20)*'W9'!$D$9+(1+$S$4)^('W9'!$B$20+1)*'W9'!$D$10)/12*'R9'!$E15*'R9'!$G15,0),ROUND($E15*$G15*(1+$S$4)/12*'W9'!$D$5,0))))))),(IF(AND($S$4="Multi",$R$4="FY"),ROUND(((1+$M15)^('W9'!$B$20+1)*'W9'!$D$9+(1+$M15)^('W9'!$B$20+2)*'W9'!$D$10)/12*'R9'!$E15*'R9'!$G15,0),(IF(AND($S$4="Multi",$R$4="PY"),ROUND($E15*$G15*(1+M15)/12*'W9'!$D$5,0),(IF(AND($S$4&lt;&gt;"Multi",$R$4="FY"),ROUND(((1+$S$4)^('W9'!$B$20+1)*'W9'!$D$9+(1+$S$4)^('W9'!$B$20+2)*'W9'!$D$10)/12*'R9'!$E15*'R9'!$G15,0),ROUND($E15*$G15*(1+$S$4)/12*'W9'!$D$5,0))))))))</f>
        <v>0</v>
      </c>
      <c r="P15" s="187">
        <f ca="1">IF('W9'!$C$4='W9'!$D$4,(IF(AND($S$4="Multi",$R$4="FY"),ROUND(((1+$M15)^('W9'!$B$20+1)*'W9'!$E$9+(1+$M15)^('W9'!$B$20+2)*'W9'!$E$10)/12*'R9'!$E15*'R9'!H15,0),(IF(AND($S$4="Multi",$R$4="PY"),ROUND($E15*H15*((1+$M15)^2)/12*'W9'!$E$5,0),(IF(AND($S$4&lt;&gt;"Multi",$R$4="FY"),ROUND(((1+$S$4)^('W9'!$B$20+1)*'W9'!$E$9+(1+$S$4)^('W9'!$B$20+2)*'W9'!$E$10)/12*'R9'!$E15*'R9'!H15,0),ROUND($E15*H15*((1+$S$4)^2)/12*'W9'!$E$5,0))))))),(IF(AND($S$4="Multi",$R$4="FY"),ROUND(((1+$M15)^('W9'!$B$20+2)*'W9'!$E$9+(1+$M15)^('W9'!$B$20+3)*'W9'!$E$10)/12*'R9'!$E15*'R9'!H15,0),(IF(AND($S$4="Multi",$R$4="PY"),ROUND($E15*H15*((1+$M15)^2)/12*'W9'!$E$5,0),(IF(AND($S$4&lt;&gt;"Multi",$R$4="FY"),ROUND(((1+$S$4)^('W9'!$B$20+2)*'W9'!$E$9+(1+$S$4)^('W9'!$B$20+3)*'W9'!$E$10)/12*'R9'!$E15*'R9'!H15,0),ROUND($E15*H15*((1+$S$4)^2)/12*'W9'!$E$5,0))))))))</f>
        <v>0</v>
      </c>
      <c r="Q15" s="187">
        <f ca="1">IF('W9'!$C$4='W9'!$D$4,(IF(AND($S$4="Multi",$R$4="FY"),ROUND(((1+$M15)^('W9'!$B$20+2)*'W9'!$F$9+(1+$M15)^('W9'!$B$20+3)*'W9'!$F$10)/12*'R9'!$E15*'R9'!$I15,0),(IF(AND($S$4="Multi",$R$4="PY"),ROUND($E15*$I15*((1+$M15)^3)/12*'W9'!$F$5,0),(IF(AND($S$4&lt;&gt;"Multi",$R$4="FY"),ROUND(((1+$S$4)^('W9'!$B$20+2)*'W9'!$F$9+(1+$S$4)^('W9'!$B$20+3)*'W9'!$F$10)/12*'R9'!$E15*'R9'!$I15,0),ROUND($E15*$I15*((1+$S$4)^3)/12*'W9'!$F$5,0))))))),(IF(AND($S$4="Multi",$R$4="FY"),ROUND(((1+$M15)^('W9'!$B$20+3)*'W9'!$F$9+(1+$M15)^('W9'!$B$20+4)*'W9'!$F$10)/12*'R9'!$E15*'R9'!$I15,0),(IF(AND($S$4="Multi",$R$4="PY"),ROUND($E15*$I15*((1+$M15)^3)/12*'W9'!$F$5,0),(IF(AND($S$4&lt;&gt;"Multi",$R$4="FY"),ROUND(((1+$S$4)^('W9'!$B$20+3)*'W9'!$F$9+(1+$S$4)^('W9'!$B$20+4)*'W9'!$F$10)/12*'R9'!$E15*'R9'!$I15,0),ROUND($E15*$I15*((1+$S$4)^3)/12*'W9'!$F$5,0))))))))</f>
        <v>0</v>
      </c>
      <c r="R15" s="187">
        <f ca="1">IF('W9'!$C$4='W9'!$D$4,(IF(AND($S$4="Multi",$R$4="FY"),ROUND(((1+$M15)^('W9'!$B$20+3)*'W9'!$G$9+(1+$M15)^('W9'!$B$20+4)*'W9'!$G$10)/12*'R9'!$E15*'R9'!$J15,0),(IF(AND($S$4="Multi",$R$4="PY"),ROUND($E15*$J15*((1+$M15)^4)/12*'W9'!$G$5,0),(IF(AND($S$4&lt;&gt;"Multi",$R$4="FY"),ROUND(((1+$S$4)^('W9'!$B$20+3)*'W9'!$G$9+(1+$S$4)^('W9'!$B$20+4)*'W9'!$G$10)/12*'R9'!$E15*'R9'!$J15,0),ROUND($E15*$J15*((1+$S$4)^4)/12*'W9'!$G$5,0))))))),(IF(AND($S$4="Multi",$R$4="FY"),ROUND(((1+$M15)^('W9'!$B$20+4)*'W9'!$G$9+(1+$M15)^('W9'!$B$20+5)*'W9'!$G$10)/12*'R9'!$E15*'R9'!$J15,0),(IF(AND($S$4="Multi",$R$4="PY"),ROUND($E15*$J15*((1+$M15)^4)/12*'W9'!$G$5,0),(IF(AND($S$4&lt;&gt;"Multi",$R$4="FY"),ROUND(((1+$S$4)^('W9'!$B$20+4)*'W9'!$G$9+(1+$S$4)^('W9'!$B$20+5)*'W9'!$G$10)/12*'R9'!$E15*'R9'!$J15,0),ROUND($E15*$J15*((1+$S$4)^4)/12*'W9'!$G$5,0))))))))</f>
        <v>0</v>
      </c>
      <c r="S15" s="188">
        <f t="shared" ca="1" si="0"/>
        <v>0</v>
      </c>
      <c r="T15" s="246"/>
      <c r="U15" s="246"/>
      <c r="V15" s="246"/>
      <c r="W15" s="246"/>
      <c r="X15" s="246"/>
      <c r="Y15" s="247"/>
      <c r="Z15" s="247"/>
      <c r="AA15" s="247"/>
      <c r="AB15" s="247"/>
      <c r="AC15" s="24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x14ac:dyDescent="0.2">
      <c r="A16" s="192">
        <v>9</v>
      </c>
      <c r="B16" s="193"/>
      <c r="C16" s="193"/>
      <c r="D16" s="194"/>
      <c r="E16" s="195"/>
      <c r="F16" s="221"/>
      <c r="G16" s="221"/>
      <c r="H16" s="221"/>
      <c r="I16" s="221"/>
      <c r="J16" s="221"/>
      <c r="K16" s="190" t="s">
        <v>176</v>
      </c>
      <c r="L16" s="190">
        <v>12</v>
      </c>
      <c r="M16" s="191">
        <v>0.03</v>
      </c>
      <c r="N16" s="187">
        <f ca="1">IF(AND($S$4="Multi",$R$4="FY"),ROUND(((1+$M16)^'W9'!$B$20*'W9'!$C$9+(1+$M16)^('W9'!$B$20+1)*'W9'!$C$10)/12*'R9'!$E16*'R9'!$F16,0),(IF(AND($S$4="Multi",$R$4="PY"),ROUND(E16*F16/12*'W9'!$C$5,0),(IF(AND($S$4&lt;&gt;"Multi",$R$4="FY"),ROUND(((1+$S$4)^'W9'!$B$20*'W9'!$C$9+(1+$S$4)^('W9'!$B$20+1)*'W9'!$C$10)/12*'R9'!$E16*'R9'!$F16,0),ROUND($E16*$F16/12*'W9'!$C$5,0))))))</f>
        <v>0</v>
      </c>
      <c r="O16" s="187">
        <f ca="1">IF('W9'!$C$4='W9'!$D$4,(IF(AND($S$4="Multi",$R$4="FY"),ROUND(((1+$M16)^('W9'!$B$20)*'W9'!$D$9+(1+$M16)^('W9'!$B$20+1)*'W9'!$D$10)/12*'R9'!$E16*'R9'!$G16,0),(IF(AND($S$4="Multi",$R$4="PY"),ROUND($E16*$G16*(1+M16)/12*'W9'!$D$5,0),(IF(AND($S$4&lt;&gt;"Multi",$R$4="FY"),ROUND(((1+$S$4)^('W9'!$B$20)*'W9'!$D$9+(1+$S$4)^('W9'!$B$20+1)*'W9'!$D$10)/12*'R9'!$E16*'R9'!$G16,0),ROUND($E16*$G16*(1+$S$4)/12*'W9'!$D$5,0))))))),(IF(AND($S$4="Multi",$R$4="FY"),ROUND(((1+$M16)^('W9'!$B$20+1)*'W9'!$D$9+(1+$M16)^('W9'!$B$20+2)*'W9'!$D$10)/12*'R9'!$E16*'R9'!$G16,0),(IF(AND($S$4="Multi",$R$4="PY"),ROUND($E16*$G16*(1+M16)/12*'W9'!$D$5,0),(IF(AND($S$4&lt;&gt;"Multi",$R$4="FY"),ROUND(((1+$S$4)^('W9'!$B$20+1)*'W9'!$D$9+(1+$S$4)^('W9'!$B$20+2)*'W9'!$D$10)/12*'R9'!$E16*'R9'!$G16,0),ROUND($E16*$G16*(1+$S$4)/12*'W9'!$D$5,0))))))))</f>
        <v>0</v>
      </c>
      <c r="P16" s="187">
        <f ca="1">IF('W9'!$C$4='W9'!$D$4,(IF(AND($S$4="Multi",$R$4="FY"),ROUND(((1+$M16)^('W9'!$B$20+1)*'W9'!$E$9+(1+$M16)^('W9'!$B$20+2)*'W9'!$E$10)/12*'R9'!$E16*'R9'!H16,0),(IF(AND($S$4="Multi",$R$4="PY"),ROUND($E16*H16*((1+$M16)^2)/12*'W9'!$E$5,0),(IF(AND($S$4&lt;&gt;"Multi",$R$4="FY"),ROUND(((1+$S$4)^('W9'!$B$20+1)*'W9'!$E$9+(1+$S$4)^('W9'!$B$20+2)*'W9'!$E$10)/12*'R9'!$E16*'R9'!H16,0),ROUND($E16*H16*((1+$S$4)^2)/12*'W9'!$E$5,0))))))),(IF(AND($S$4="Multi",$R$4="FY"),ROUND(((1+$M16)^('W9'!$B$20+2)*'W9'!$E$9+(1+$M16)^('W9'!$B$20+3)*'W9'!$E$10)/12*'R9'!$E16*'R9'!H16,0),(IF(AND($S$4="Multi",$R$4="PY"),ROUND($E16*H16*((1+$M16)^2)/12*'W9'!$E$5,0),(IF(AND($S$4&lt;&gt;"Multi",$R$4="FY"),ROUND(((1+$S$4)^('W9'!$B$20+2)*'W9'!$E$9+(1+$S$4)^('W9'!$B$20+3)*'W9'!$E$10)/12*'R9'!$E16*'R9'!H16,0),ROUND($E16*H16*((1+$S$4)^2)/12*'W9'!$E$5,0))))))))</f>
        <v>0</v>
      </c>
      <c r="Q16" s="187">
        <f ca="1">IF('W9'!$C$4='W9'!$D$4,(IF(AND($S$4="Multi",$R$4="FY"),ROUND(((1+$M16)^('W9'!$B$20+2)*'W9'!$F$9+(1+$M16)^('W9'!$B$20+3)*'W9'!$F$10)/12*'R9'!$E16*'R9'!$I16,0),(IF(AND($S$4="Multi",$R$4="PY"),ROUND($E16*$I16*((1+$M16)^3)/12*'W9'!$F$5,0),(IF(AND($S$4&lt;&gt;"Multi",$R$4="FY"),ROUND(((1+$S$4)^('W9'!$B$20+2)*'W9'!$F$9+(1+$S$4)^('W9'!$B$20+3)*'W9'!$F$10)/12*'R9'!$E16*'R9'!$I16,0),ROUND($E16*$I16*((1+$S$4)^3)/12*'W9'!$F$5,0))))))),(IF(AND($S$4="Multi",$R$4="FY"),ROUND(((1+$M16)^('W9'!$B$20+3)*'W9'!$F$9+(1+$M16)^('W9'!$B$20+4)*'W9'!$F$10)/12*'R9'!$E16*'R9'!$I16,0),(IF(AND($S$4="Multi",$R$4="PY"),ROUND($E16*$I16*((1+$M16)^3)/12*'W9'!$F$5,0),(IF(AND($S$4&lt;&gt;"Multi",$R$4="FY"),ROUND(((1+$S$4)^('W9'!$B$20+3)*'W9'!$F$9+(1+$S$4)^('W9'!$B$20+4)*'W9'!$F$10)/12*'R9'!$E16*'R9'!$I16,0),ROUND($E16*$I16*((1+$S$4)^3)/12*'W9'!$F$5,0))))))))</f>
        <v>0</v>
      </c>
      <c r="R16" s="187">
        <f ca="1">IF('W9'!$C$4='W9'!$D$4,(IF(AND($S$4="Multi",$R$4="FY"),ROUND(((1+$M16)^('W9'!$B$20+3)*'W9'!$G$9+(1+$M16)^('W9'!$B$20+4)*'W9'!$G$10)/12*'R9'!$E16*'R9'!$J16,0),(IF(AND($S$4="Multi",$R$4="PY"),ROUND($E16*$J16*((1+$M16)^4)/12*'W9'!$G$5,0),(IF(AND($S$4&lt;&gt;"Multi",$R$4="FY"),ROUND(((1+$S$4)^('W9'!$B$20+3)*'W9'!$G$9+(1+$S$4)^('W9'!$B$20+4)*'W9'!$G$10)/12*'R9'!$E16*'R9'!$J16,0),ROUND($E16*$J16*((1+$S$4)^4)/12*'W9'!$G$5,0))))))),(IF(AND($S$4="Multi",$R$4="FY"),ROUND(((1+$M16)^('W9'!$B$20+4)*'W9'!$G$9+(1+$M16)^('W9'!$B$20+5)*'W9'!$G$10)/12*'R9'!$E16*'R9'!$J16,0),(IF(AND($S$4="Multi",$R$4="PY"),ROUND($E16*$J16*((1+$M16)^4)/12*'W9'!$G$5,0),(IF(AND($S$4&lt;&gt;"Multi",$R$4="FY"),ROUND(((1+$S$4)^('W9'!$B$20+4)*'W9'!$G$9+(1+$S$4)^('W9'!$B$20+5)*'W9'!$G$10)/12*'R9'!$E16*'R9'!$J16,0),ROUND($E16*$J16*((1+$S$4)^4)/12*'W9'!$G$5,0))))))))</f>
        <v>0</v>
      </c>
      <c r="S16" s="188">
        <f t="shared" ca="1" si="0"/>
        <v>0</v>
      </c>
      <c r="T16" s="246"/>
      <c r="U16" s="246"/>
      <c r="V16" s="246"/>
      <c r="W16" s="246"/>
      <c r="X16" s="246"/>
      <c r="Y16" s="247"/>
      <c r="Z16" s="247"/>
      <c r="AA16" s="247"/>
      <c r="AB16" s="247"/>
      <c r="AC16" s="24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x14ac:dyDescent="0.2">
      <c r="A17" s="192">
        <v>10</v>
      </c>
      <c r="B17" s="193"/>
      <c r="C17" s="193"/>
      <c r="D17" s="194"/>
      <c r="E17" s="195"/>
      <c r="F17" s="221"/>
      <c r="G17" s="221"/>
      <c r="H17" s="221"/>
      <c r="I17" s="221"/>
      <c r="J17" s="221"/>
      <c r="K17" s="190" t="s">
        <v>176</v>
      </c>
      <c r="L17" s="190">
        <v>12</v>
      </c>
      <c r="M17" s="191">
        <v>0.03</v>
      </c>
      <c r="N17" s="187">
        <f ca="1">IF(AND($S$4="Multi",$R$4="FY"),ROUND(((1+$M17)^'W9'!$B$20*'W9'!$C$9+(1+$M17)^('W9'!$B$20+1)*'W9'!$C$10)/12*'R9'!$E17*'R9'!$F17,0),(IF(AND($S$4="Multi",$R$4="PY"),ROUND(E17*F17/12*'W9'!$C$5,0),(IF(AND($S$4&lt;&gt;"Multi",$R$4="FY"),ROUND(((1+$S$4)^'W9'!$B$20*'W9'!$C$9+(1+$S$4)^('W9'!$B$20+1)*'W9'!$C$10)/12*'R9'!$E17*'R9'!$F17,0),ROUND($E17*$F17/12*'W9'!$C$5,0))))))</f>
        <v>0</v>
      </c>
      <c r="O17" s="187">
        <f ca="1">IF('W9'!$C$4='W9'!$D$4,(IF(AND($S$4="Multi",$R$4="FY"),ROUND(((1+$M17)^('W9'!$B$20)*'W9'!$D$9+(1+$M17)^('W9'!$B$20+1)*'W9'!$D$10)/12*'R9'!$E17*'R9'!$G17,0),(IF(AND($S$4="Multi",$R$4="PY"),ROUND($E17*$G17*(1+M17)/12*'W9'!$D$5,0),(IF(AND($S$4&lt;&gt;"Multi",$R$4="FY"),ROUND(((1+$S$4)^('W9'!$B$20)*'W9'!$D$9+(1+$S$4)^('W9'!$B$20+1)*'W9'!$D$10)/12*'R9'!$E17*'R9'!$G17,0),ROUND($E17*$G17*(1+$S$4)/12*'W9'!$D$5,0))))))),(IF(AND($S$4="Multi",$R$4="FY"),ROUND(((1+$M17)^('W9'!$B$20+1)*'W9'!$D$9+(1+$M17)^('W9'!$B$20+2)*'W9'!$D$10)/12*'R9'!$E17*'R9'!$G17,0),(IF(AND($S$4="Multi",$R$4="PY"),ROUND($E17*$G17*(1+M17)/12*'W9'!$D$5,0),(IF(AND($S$4&lt;&gt;"Multi",$R$4="FY"),ROUND(((1+$S$4)^('W9'!$B$20+1)*'W9'!$D$9+(1+$S$4)^('W9'!$B$20+2)*'W9'!$D$10)/12*'R9'!$E17*'R9'!$G17,0),ROUND($E17*$G17*(1+$S$4)/12*'W9'!$D$5,0))))))))</f>
        <v>0</v>
      </c>
      <c r="P17" s="187">
        <f ca="1">IF('W9'!$C$4='W9'!$D$4,(IF(AND($S$4="Multi",$R$4="FY"),ROUND(((1+$M17)^('W9'!$B$20+1)*'W9'!$E$9+(1+$M17)^('W9'!$B$20+2)*'W9'!$E$10)/12*'R9'!$E17*'R9'!H17,0),(IF(AND($S$4="Multi",$R$4="PY"),ROUND($E17*H17*((1+$M17)^2)/12*'W9'!$E$5,0),(IF(AND($S$4&lt;&gt;"Multi",$R$4="FY"),ROUND(((1+$S$4)^('W9'!$B$20+1)*'W9'!$E$9+(1+$S$4)^('W9'!$B$20+2)*'W9'!$E$10)/12*'R9'!$E17*'R9'!H17,0),ROUND($E17*H17*((1+$S$4)^2)/12*'W9'!$E$5,0))))))),(IF(AND($S$4="Multi",$R$4="FY"),ROUND(((1+$M17)^('W9'!$B$20+2)*'W9'!$E$9+(1+$M17)^('W9'!$B$20+3)*'W9'!$E$10)/12*'R9'!$E17*'R9'!H17,0),(IF(AND($S$4="Multi",$R$4="PY"),ROUND($E17*H17*((1+$M17)^2)/12*'W9'!$E$5,0),(IF(AND($S$4&lt;&gt;"Multi",$R$4="FY"),ROUND(((1+$S$4)^('W9'!$B$20+2)*'W9'!$E$9+(1+$S$4)^('W9'!$B$20+3)*'W9'!$E$10)/12*'R9'!$E17*'R9'!H17,0),ROUND($E17*H17*((1+$S$4)^2)/12*'W9'!$E$5,0))))))))</f>
        <v>0</v>
      </c>
      <c r="Q17" s="187">
        <f ca="1">IF('W9'!$C$4='W9'!$D$4,(IF(AND($S$4="Multi",$R$4="FY"),ROUND(((1+$M17)^('W9'!$B$20+2)*'W9'!$F$9+(1+$M17)^('W9'!$B$20+3)*'W9'!$F$10)/12*'R9'!$E17*'R9'!$I17,0),(IF(AND($S$4="Multi",$R$4="PY"),ROUND($E17*$I17*((1+$M17)^3)/12*'W9'!$F$5,0),(IF(AND($S$4&lt;&gt;"Multi",$R$4="FY"),ROUND(((1+$S$4)^('W9'!$B$20+2)*'W9'!$F$9+(1+$S$4)^('W9'!$B$20+3)*'W9'!$F$10)/12*'R9'!$E17*'R9'!$I17,0),ROUND($E17*$I17*((1+$S$4)^3)/12*'W9'!$F$5,0))))))),(IF(AND($S$4="Multi",$R$4="FY"),ROUND(((1+$M17)^('W9'!$B$20+3)*'W9'!$F$9+(1+$M17)^('W9'!$B$20+4)*'W9'!$F$10)/12*'R9'!$E17*'R9'!$I17,0),(IF(AND($S$4="Multi",$R$4="PY"),ROUND($E17*$I17*((1+$M17)^3)/12*'W9'!$F$5,0),(IF(AND($S$4&lt;&gt;"Multi",$R$4="FY"),ROUND(((1+$S$4)^('W9'!$B$20+3)*'W9'!$F$9+(1+$S$4)^('W9'!$B$20+4)*'W9'!$F$10)/12*'R9'!$E17*'R9'!$I17,0),ROUND($E17*$I17*((1+$S$4)^3)/12*'W9'!$F$5,0))))))))</f>
        <v>0</v>
      </c>
      <c r="R17" s="187">
        <f ca="1">IF('W9'!$C$4='W9'!$D$4,(IF(AND($S$4="Multi",$R$4="FY"),ROUND(((1+$M17)^('W9'!$B$20+3)*'W9'!$G$9+(1+$M17)^('W9'!$B$20+4)*'W9'!$G$10)/12*'R9'!$E17*'R9'!$J17,0),(IF(AND($S$4="Multi",$R$4="PY"),ROUND($E17*$J17*((1+$M17)^4)/12*'W9'!$G$5,0),(IF(AND($S$4&lt;&gt;"Multi",$R$4="FY"),ROUND(((1+$S$4)^('W9'!$B$20+3)*'W9'!$G$9+(1+$S$4)^('W9'!$B$20+4)*'W9'!$G$10)/12*'R9'!$E17*'R9'!$J17,0),ROUND($E17*$J17*((1+$S$4)^4)/12*'W9'!$G$5,0))))))),(IF(AND($S$4="Multi",$R$4="FY"),ROUND(((1+$M17)^('W9'!$B$20+4)*'W9'!$G$9+(1+$M17)^('W9'!$B$20+5)*'W9'!$G$10)/12*'R9'!$E17*'R9'!$J17,0),(IF(AND($S$4="Multi",$R$4="PY"),ROUND($E17*$J17*((1+$M17)^4)/12*'W9'!$G$5,0),(IF(AND($S$4&lt;&gt;"Multi",$R$4="FY"),ROUND(((1+$S$4)^('W9'!$B$20+4)*'W9'!$G$9+(1+$S$4)^('W9'!$B$20+5)*'W9'!$G$10)/12*'R9'!$E17*'R9'!$J17,0),ROUND($E17*$J17*((1+$S$4)^4)/12*'W9'!$G$5,0))))))))</f>
        <v>0</v>
      </c>
      <c r="S17" s="188">
        <f t="shared" ca="1" si="0"/>
        <v>0</v>
      </c>
      <c r="T17" s="246"/>
      <c r="U17" s="246"/>
      <c r="V17" s="246"/>
      <c r="W17" s="246"/>
      <c r="X17" s="246"/>
      <c r="Y17" s="247"/>
      <c r="Z17" s="247"/>
      <c r="AA17" s="247"/>
      <c r="AB17" s="247"/>
      <c r="AC17" s="24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x14ac:dyDescent="0.2">
      <c r="A18" s="192">
        <v>11</v>
      </c>
      <c r="B18" s="193"/>
      <c r="C18" s="193"/>
      <c r="D18" s="194"/>
      <c r="E18" s="195"/>
      <c r="F18" s="221"/>
      <c r="G18" s="221"/>
      <c r="H18" s="221"/>
      <c r="I18" s="221"/>
      <c r="J18" s="221"/>
      <c r="K18" s="190" t="s">
        <v>176</v>
      </c>
      <c r="L18" s="190">
        <v>12</v>
      </c>
      <c r="M18" s="191">
        <v>0.03</v>
      </c>
      <c r="N18" s="187">
        <f ca="1">IF(AND($S$4="Multi",$R$4="FY"),ROUND(((1+$M18)^'W9'!$B$20*'W9'!$C$9+(1+$M18)^('W9'!$B$20+1)*'W9'!$C$10)/12*'R9'!$E18*'R9'!$F18,0),(IF(AND($S$4="Multi",$R$4="PY"),ROUND(E18*F18/12*'W9'!$C$5,0),(IF(AND($S$4&lt;&gt;"Multi",$R$4="FY"),ROUND(((1+$S$4)^'W9'!$B$20*'W9'!$C$9+(1+$S$4)^('W9'!$B$20+1)*'W9'!$C$10)/12*'R9'!$E18*'R9'!$F18,0),ROUND($E18*$F18/12*'W9'!$C$5,0))))))</f>
        <v>0</v>
      </c>
      <c r="O18" s="187">
        <f ca="1">IF('W9'!$C$4='W9'!$D$4,(IF(AND($S$4="Multi",$R$4="FY"),ROUND(((1+$M18)^('W9'!$B$20)*'W9'!$D$9+(1+$M18)^('W9'!$B$20+1)*'W9'!$D$10)/12*'R9'!$E18*'R9'!$G18,0),(IF(AND($S$4="Multi",$R$4="PY"),ROUND($E18*$G18*(1+M18)/12*'W9'!$D$5,0),(IF(AND($S$4&lt;&gt;"Multi",$R$4="FY"),ROUND(((1+$S$4)^('W9'!$B$20)*'W9'!$D$9+(1+$S$4)^('W9'!$B$20+1)*'W9'!$D$10)/12*'R9'!$E18*'R9'!$G18,0),ROUND($E18*$G18*(1+$S$4)/12*'W9'!$D$5,0))))))),(IF(AND($S$4="Multi",$R$4="FY"),ROUND(((1+$M18)^('W9'!$B$20+1)*'W9'!$D$9+(1+$M18)^('W9'!$B$20+2)*'W9'!$D$10)/12*'R9'!$E18*'R9'!$G18,0),(IF(AND($S$4="Multi",$R$4="PY"),ROUND($E18*$G18*(1+M18)/12*'W9'!$D$5,0),(IF(AND($S$4&lt;&gt;"Multi",$R$4="FY"),ROUND(((1+$S$4)^('W9'!$B$20+1)*'W9'!$D$9+(1+$S$4)^('W9'!$B$20+2)*'W9'!$D$10)/12*'R9'!$E18*'R9'!$G18,0),ROUND($E18*$G18*(1+$S$4)/12*'W9'!$D$5,0))))))))</f>
        <v>0</v>
      </c>
      <c r="P18" s="187">
        <f ca="1">IF('W9'!$C$4='W9'!$D$4,(IF(AND($S$4="Multi",$R$4="FY"),ROUND(((1+$M18)^('W9'!$B$20+1)*'W9'!$E$9+(1+$M18)^('W9'!$B$20+2)*'W9'!$E$10)/12*'R9'!$E18*'R9'!H18,0),(IF(AND($S$4="Multi",$R$4="PY"),ROUND($E18*H18*((1+$M18)^2)/12*'W9'!$E$5,0),(IF(AND($S$4&lt;&gt;"Multi",$R$4="FY"),ROUND(((1+$S$4)^('W9'!$B$20+1)*'W9'!$E$9+(1+$S$4)^('W9'!$B$20+2)*'W9'!$E$10)/12*'R9'!$E18*'R9'!H18,0),ROUND($E18*H18*((1+$S$4)^2)/12*'W9'!$E$5,0))))))),(IF(AND($S$4="Multi",$R$4="FY"),ROUND(((1+$M18)^('W9'!$B$20+2)*'W9'!$E$9+(1+$M18)^('W9'!$B$20+3)*'W9'!$E$10)/12*'R9'!$E18*'R9'!H18,0),(IF(AND($S$4="Multi",$R$4="PY"),ROUND($E18*H18*((1+$M18)^2)/12*'W9'!$E$5,0),(IF(AND($S$4&lt;&gt;"Multi",$R$4="FY"),ROUND(((1+$S$4)^('W9'!$B$20+2)*'W9'!$E$9+(1+$S$4)^('W9'!$B$20+3)*'W9'!$E$10)/12*'R9'!$E18*'R9'!H18,0),ROUND($E18*H18*((1+$S$4)^2)/12*'W9'!$E$5,0))))))))</f>
        <v>0</v>
      </c>
      <c r="Q18" s="187">
        <f ca="1">IF('W9'!$C$4='W9'!$D$4,(IF(AND($S$4="Multi",$R$4="FY"),ROUND(((1+$M18)^('W9'!$B$20+2)*'W9'!$F$9+(1+$M18)^('W9'!$B$20+3)*'W9'!$F$10)/12*'R9'!$E18*'R9'!$I18,0),(IF(AND($S$4="Multi",$R$4="PY"),ROUND($E18*$I18*((1+$M18)^3)/12*'W9'!$F$5,0),(IF(AND($S$4&lt;&gt;"Multi",$R$4="FY"),ROUND(((1+$S$4)^('W9'!$B$20+2)*'W9'!$F$9+(1+$S$4)^('W9'!$B$20+3)*'W9'!$F$10)/12*'R9'!$E18*'R9'!$I18,0),ROUND($E18*$I18*((1+$S$4)^3)/12*'W9'!$F$5,0))))))),(IF(AND($S$4="Multi",$R$4="FY"),ROUND(((1+$M18)^('W9'!$B$20+3)*'W9'!$F$9+(1+$M18)^('W9'!$B$20+4)*'W9'!$F$10)/12*'R9'!$E18*'R9'!$I18,0),(IF(AND($S$4="Multi",$R$4="PY"),ROUND($E18*$I18*((1+$M18)^3)/12*'W9'!$F$5,0),(IF(AND($S$4&lt;&gt;"Multi",$R$4="FY"),ROUND(((1+$S$4)^('W9'!$B$20+3)*'W9'!$F$9+(1+$S$4)^('W9'!$B$20+4)*'W9'!$F$10)/12*'R9'!$E18*'R9'!$I18,0),ROUND($E18*$I18*((1+$S$4)^3)/12*'W9'!$F$5,0))))))))</f>
        <v>0</v>
      </c>
      <c r="R18" s="187">
        <f ca="1">IF('W9'!$C$4='W9'!$D$4,(IF(AND($S$4="Multi",$R$4="FY"),ROUND(((1+$M18)^('W9'!$B$20+3)*'W9'!$G$9+(1+$M18)^('W9'!$B$20+4)*'W9'!$G$10)/12*'R9'!$E18*'R9'!$J18,0),(IF(AND($S$4="Multi",$R$4="PY"),ROUND($E18*$J18*((1+$M18)^4)/12*'W9'!$G$5,0),(IF(AND($S$4&lt;&gt;"Multi",$R$4="FY"),ROUND(((1+$S$4)^('W9'!$B$20+3)*'W9'!$G$9+(1+$S$4)^('W9'!$B$20+4)*'W9'!$G$10)/12*'R9'!$E18*'R9'!$J18,0),ROUND($E18*$J18*((1+$S$4)^4)/12*'W9'!$G$5,0))))))),(IF(AND($S$4="Multi",$R$4="FY"),ROUND(((1+$M18)^('W9'!$B$20+4)*'W9'!$G$9+(1+$M18)^('W9'!$B$20+5)*'W9'!$G$10)/12*'R9'!$E18*'R9'!$J18,0),(IF(AND($S$4="Multi",$R$4="PY"),ROUND($E18*$J18*((1+$M18)^4)/12*'W9'!$G$5,0),(IF(AND($S$4&lt;&gt;"Multi",$R$4="FY"),ROUND(((1+$S$4)^('W9'!$B$20+4)*'W9'!$G$9+(1+$S$4)^('W9'!$B$20+5)*'W9'!$G$10)/12*'R9'!$E18*'R9'!$J18,0),ROUND($E18*$J18*((1+$S$4)^4)/12*'W9'!$G$5,0))))))))</f>
        <v>0</v>
      </c>
      <c r="S18" s="188">
        <f t="shared" ca="1" si="0"/>
        <v>0</v>
      </c>
      <c r="T18" s="246"/>
      <c r="U18" s="246"/>
      <c r="V18" s="246"/>
      <c r="W18" s="246"/>
      <c r="X18" s="246"/>
      <c r="Y18" s="247"/>
      <c r="Z18" s="247"/>
      <c r="AA18" s="247"/>
      <c r="AB18" s="247"/>
      <c r="AC18" s="24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x14ac:dyDescent="0.2">
      <c r="A19" s="192">
        <v>12</v>
      </c>
      <c r="B19" s="193"/>
      <c r="C19" s="193"/>
      <c r="D19" s="194"/>
      <c r="E19" s="195"/>
      <c r="F19" s="221"/>
      <c r="G19" s="221"/>
      <c r="H19" s="221"/>
      <c r="I19" s="221"/>
      <c r="J19" s="221"/>
      <c r="K19" s="190" t="s">
        <v>176</v>
      </c>
      <c r="L19" s="190">
        <v>12</v>
      </c>
      <c r="M19" s="191">
        <v>0.03</v>
      </c>
      <c r="N19" s="187">
        <f ca="1">IF(AND($S$4="Multi",$R$4="FY"),ROUND(((1+$M19)^'W9'!$B$20*'W9'!$C$9+(1+$M19)^('W9'!$B$20+1)*'W9'!$C$10)/12*'R9'!$E19*'R9'!$F19,0),(IF(AND($S$4="Multi",$R$4="PY"),ROUND(E19*F19/12*'W9'!$C$5,0),(IF(AND($S$4&lt;&gt;"Multi",$R$4="FY"),ROUND(((1+$S$4)^'W9'!$B$20*'W9'!$C$9+(1+$S$4)^('W9'!$B$20+1)*'W9'!$C$10)/12*'R9'!$E19*'R9'!$F19,0),ROUND($E19*$F19/12*'W9'!$C$5,0))))))</f>
        <v>0</v>
      </c>
      <c r="O19" s="187">
        <f ca="1">IF('W9'!$C$4='W9'!$D$4,(IF(AND($S$4="Multi",$R$4="FY"),ROUND(((1+$M19)^('W9'!$B$20)*'W9'!$D$9+(1+$M19)^('W9'!$B$20+1)*'W9'!$D$10)/12*'R9'!$E19*'R9'!$G19,0),(IF(AND($S$4="Multi",$R$4="PY"),ROUND($E19*$G19*(1+M19)/12*'W9'!$D$5,0),(IF(AND($S$4&lt;&gt;"Multi",$R$4="FY"),ROUND(((1+$S$4)^('W9'!$B$20)*'W9'!$D$9+(1+$S$4)^('W9'!$B$20+1)*'W9'!$D$10)/12*'R9'!$E19*'R9'!$G19,0),ROUND($E19*$G19*(1+$S$4)/12*'W9'!$D$5,0))))))),(IF(AND($S$4="Multi",$R$4="FY"),ROUND(((1+$M19)^('W9'!$B$20+1)*'W9'!$D$9+(1+$M19)^('W9'!$B$20+2)*'W9'!$D$10)/12*'R9'!$E19*'R9'!$G19,0),(IF(AND($S$4="Multi",$R$4="PY"),ROUND($E19*$G19*(1+M19)/12*'W9'!$D$5,0),(IF(AND($S$4&lt;&gt;"Multi",$R$4="FY"),ROUND(((1+$S$4)^('W9'!$B$20+1)*'W9'!$D$9+(1+$S$4)^('W9'!$B$20+2)*'W9'!$D$10)/12*'R9'!$E19*'R9'!$G19,0),ROUND($E19*$G19*(1+$S$4)/12*'W9'!$D$5,0))))))))</f>
        <v>0</v>
      </c>
      <c r="P19" s="187">
        <f ca="1">IF('W9'!$C$4='W9'!$D$4,(IF(AND($S$4="Multi",$R$4="FY"),ROUND(((1+$M19)^('W9'!$B$20+1)*'W9'!$E$9+(1+$M19)^('W9'!$B$20+2)*'W9'!$E$10)/12*'R9'!$E19*'R9'!H19,0),(IF(AND($S$4="Multi",$R$4="PY"),ROUND($E19*H19*((1+$M19)^2)/12*'W9'!$E$5,0),(IF(AND($S$4&lt;&gt;"Multi",$R$4="FY"),ROUND(((1+$S$4)^('W9'!$B$20+1)*'W9'!$E$9+(1+$S$4)^('W9'!$B$20+2)*'W9'!$E$10)/12*'R9'!$E19*'R9'!H19,0),ROUND($E19*H19*((1+$S$4)^2)/12*'W9'!$E$5,0))))))),(IF(AND($S$4="Multi",$R$4="FY"),ROUND(((1+$M19)^('W9'!$B$20+2)*'W9'!$E$9+(1+$M19)^('W9'!$B$20+3)*'W9'!$E$10)/12*'R9'!$E19*'R9'!H19,0),(IF(AND($S$4="Multi",$R$4="PY"),ROUND($E19*H19*((1+$M19)^2)/12*'W9'!$E$5,0),(IF(AND($S$4&lt;&gt;"Multi",$R$4="FY"),ROUND(((1+$S$4)^('W9'!$B$20+2)*'W9'!$E$9+(1+$S$4)^('W9'!$B$20+3)*'W9'!$E$10)/12*'R9'!$E19*'R9'!H19,0),ROUND($E19*H19*((1+$S$4)^2)/12*'W9'!$E$5,0))))))))</f>
        <v>0</v>
      </c>
      <c r="Q19" s="187">
        <f ca="1">IF('W9'!$C$4='W9'!$D$4,(IF(AND($S$4="Multi",$R$4="FY"),ROUND(((1+$M19)^('W9'!$B$20+2)*'W9'!$F$9+(1+$M19)^('W9'!$B$20+3)*'W9'!$F$10)/12*'R9'!$E19*'R9'!$I19,0),(IF(AND($S$4="Multi",$R$4="PY"),ROUND($E19*$I19*((1+$M19)^3)/12*'W9'!$F$5,0),(IF(AND($S$4&lt;&gt;"Multi",$R$4="FY"),ROUND(((1+$S$4)^('W9'!$B$20+2)*'W9'!$F$9+(1+$S$4)^('W9'!$B$20+3)*'W9'!$F$10)/12*'R9'!$E19*'R9'!$I19,0),ROUND($E19*$I19*((1+$S$4)^3)/12*'W9'!$F$5,0))))))),(IF(AND($S$4="Multi",$R$4="FY"),ROUND(((1+$M19)^('W9'!$B$20+3)*'W9'!$F$9+(1+$M19)^('W9'!$B$20+4)*'W9'!$F$10)/12*'R9'!$E19*'R9'!$I19,0),(IF(AND($S$4="Multi",$R$4="PY"),ROUND($E19*$I19*((1+$M19)^3)/12*'W9'!$F$5,0),(IF(AND($S$4&lt;&gt;"Multi",$R$4="FY"),ROUND(((1+$S$4)^('W9'!$B$20+3)*'W9'!$F$9+(1+$S$4)^('W9'!$B$20+4)*'W9'!$F$10)/12*'R9'!$E19*'R9'!$I19,0),ROUND($E19*$I19*((1+$S$4)^3)/12*'W9'!$F$5,0))))))))</f>
        <v>0</v>
      </c>
      <c r="R19" s="187">
        <f ca="1">IF('W9'!$C$4='W9'!$D$4,(IF(AND($S$4="Multi",$R$4="FY"),ROUND(((1+$M19)^('W9'!$B$20+3)*'W9'!$G$9+(1+$M19)^('W9'!$B$20+4)*'W9'!$G$10)/12*'R9'!$E19*'R9'!$J19,0),(IF(AND($S$4="Multi",$R$4="PY"),ROUND($E19*$J19*((1+$M19)^4)/12*'W9'!$G$5,0),(IF(AND($S$4&lt;&gt;"Multi",$R$4="FY"),ROUND(((1+$S$4)^('W9'!$B$20+3)*'W9'!$G$9+(1+$S$4)^('W9'!$B$20+4)*'W9'!$G$10)/12*'R9'!$E19*'R9'!$J19,0),ROUND($E19*$J19*((1+$S$4)^4)/12*'W9'!$G$5,0))))))),(IF(AND($S$4="Multi",$R$4="FY"),ROUND(((1+$M19)^('W9'!$B$20+4)*'W9'!$G$9+(1+$M19)^('W9'!$B$20+5)*'W9'!$G$10)/12*'R9'!$E19*'R9'!$J19,0),(IF(AND($S$4="Multi",$R$4="PY"),ROUND($E19*$J19*((1+$M19)^4)/12*'W9'!$G$5,0),(IF(AND($S$4&lt;&gt;"Multi",$R$4="FY"),ROUND(((1+$S$4)^('W9'!$B$20+4)*'W9'!$G$9+(1+$S$4)^('W9'!$B$20+5)*'W9'!$G$10)/12*'R9'!$E19*'R9'!$J19,0),ROUND($E19*$J19*((1+$S$4)^4)/12*'W9'!$G$5,0))))))))</f>
        <v>0</v>
      </c>
      <c r="S19" s="188">
        <f t="shared" ca="1" si="0"/>
        <v>0</v>
      </c>
      <c r="T19" s="246"/>
      <c r="U19" s="246"/>
      <c r="V19" s="246"/>
      <c r="W19" s="246"/>
      <c r="X19" s="246"/>
      <c r="Y19" s="247"/>
      <c r="Z19" s="247"/>
      <c r="AA19" s="247"/>
      <c r="AB19" s="247"/>
      <c r="AC19" s="24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idden="1" x14ac:dyDescent="0.2">
      <c r="A20" s="192">
        <v>13</v>
      </c>
      <c r="B20" s="193"/>
      <c r="C20" s="193"/>
      <c r="D20" s="194"/>
      <c r="E20" s="195"/>
      <c r="F20" s="221"/>
      <c r="G20" s="221"/>
      <c r="H20" s="221"/>
      <c r="I20" s="221"/>
      <c r="J20" s="221"/>
      <c r="K20" s="190" t="s">
        <v>176</v>
      </c>
      <c r="L20" s="190">
        <v>12</v>
      </c>
      <c r="M20" s="191">
        <v>0.03</v>
      </c>
      <c r="N20" s="187">
        <f ca="1">IF(AND($S$4="Multi",$R$4="FY"),ROUND(((1+$M20)^'W9'!$B$20*'W9'!$C$9+(1+$M20)^('W9'!$B$20+1)*'W9'!$C$10)/12*'R9'!$E20*'R9'!$F20,0),(IF(AND($S$4="Multi",$R$4="PY"),ROUND(E20*F20/12*'W9'!$C$5,0),(IF(AND($S$4&lt;&gt;"Multi",$R$4="FY"),ROUND(((1+$S$4)^'W9'!$B$20*'W9'!$C$9+(1+$S$4)^('W9'!$B$20+1)*'W9'!$C$10)/12*'R9'!$E20*'R9'!$F20,0),ROUND($E20*$F20/12*'W9'!$C$5,0))))))</f>
        <v>0</v>
      </c>
      <c r="O20" s="187">
        <f ca="1">IF('W9'!$C$4='W9'!$D$4,(IF(AND($S$4="Multi",$R$4="FY"),ROUND(((1+$M20)^('W9'!$B$20)*'W9'!$D$9+(1+$M20)^('W9'!$B$20+1)*'W9'!$D$10)/12*'R9'!$E20*'R9'!$G20,0),(IF(AND($S$4="Multi",$R$4="PY"),ROUND($E20*$G20*(1+M20)/12*'W9'!$D$5,0),(IF(AND($S$4&lt;&gt;"Multi",$R$4="FY"),ROUND(((1+$S$4)^('W9'!$B$20)*'W9'!$D$9+(1+$S$4)^('W9'!$B$20+1)*'W9'!$D$10)/12*'R9'!$E20*'R9'!$G20,0),ROUND($E20*$G20*(1+$S$4)/12*'W9'!$D$5,0))))))),(IF(AND($S$4="Multi",$R$4="FY"),ROUND(((1+$M20)^('W9'!$B$20+1)*'W9'!$D$9+(1+$M20)^('W9'!$B$20+2)*'W9'!$D$10)/12*'R9'!$E20*'R9'!$G20,0),(IF(AND($S$4="Multi",$R$4="PY"),ROUND($E20*$G20*(1+M20)/12*'W9'!$D$5,0),(IF(AND($S$4&lt;&gt;"Multi",$R$4="FY"),ROUND(((1+$S$4)^('W9'!$B$20+1)*'W9'!$D$9+(1+$S$4)^('W9'!$B$20+2)*'W9'!$D$10)/12*'R9'!$E20*'R9'!$G20,0),ROUND($E20*$G20*(1+$S$4)/12*'W9'!$D$5,0))))))))</f>
        <v>0</v>
      </c>
      <c r="P20" s="187">
        <f ca="1">IF('W9'!$C$4='W9'!$D$4,(IF(AND($S$4="Multi",$R$4="FY"),ROUND(((1+$M20)^('W9'!$B$20+1)*'W9'!$E$9+(1+$M20)^('W9'!$B$20+2)*'W9'!$E$10)/12*'R9'!$E20*'R9'!H20,0),(IF(AND($S$4="Multi",$R$4="PY"),ROUND($E20*H20*((1+$M20)^2)/12*'W9'!$E$5,0),(IF(AND($S$4&lt;&gt;"Multi",$R$4="FY"),ROUND(((1+$S$4)^('W9'!$B$20+1)*'W9'!$E$9+(1+$S$4)^('W9'!$B$20+2)*'W9'!$E$10)/12*'R9'!$E20*'R9'!H20,0),ROUND($E20*H20*((1+$S$4)^2)/12*'W9'!$E$5,0))))))),(IF(AND($S$4="Multi",$R$4="FY"),ROUND(((1+$M20)^('W9'!$B$20+2)*'W9'!$E$9+(1+$M20)^('W9'!$B$20+3)*'W9'!$E$10)/12*'R9'!$E20*'R9'!H20,0),(IF(AND($S$4="Multi",$R$4="PY"),ROUND($E20*H20*((1+$M20)^2)/12*'W9'!$E$5,0),(IF(AND($S$4&lt;&gt;"Multi",$R$4="FY"),ROUND(((1+$S$4)^('W9'!$B$20+2)*'W9'!$E$9+(1+$S$4)^('W9'!$B$20+3)*'W9'!$E$10)/12*'R9'!$E20*'R9'!H20,0),ROUND($E20*H20*((1+$S$4)^2)/12*'W9'!$E$5,0))))))))</f>
        <v>0</v>
      </c>
      <c r="Q20" s="187">
        <f ca="1">IF('W9'!$C$4='W9'!$D$4,(IF(AND($S$4="Multi",$R$4="FY"),ROUND(((1+$M20)^('W9'!$B$20+2)*'W9'!$F$9+(1+$M20)^('W9'!$B$20+3)*'W9'!$F$10)/12*'R9'!$E20*'R9'!$I20,0),(IF(AND($S$4="Multi",$R$4="PY"),ROUND($E20*$I20*((1+$M20)^3)/12*'W9'!$F$5,0),(IF(AND($S$4&lt;&gt;"Multi",$R$4="FY"),ROUND(((1+$S$4)^('W9'!$B$20+2)*'W9'!$F$9+(1+$S$4)^('W9'!$B$20+3)*'W9'!$F$10)/12*'R9'!$E20*'R9'!$I20,0),ROUND($E20*$I20*((1+$S$4)^3)/12*'W9'!$F$5,0))))))),(IF(AND($S$4="Multi",$R$4="FY"),ROUND(((1+$M20)^('W9'!$B$20+3)*'W9'!$F$9+(1+$M20)^('W9'!$B$20+4)*'W9'!$F$10)/12*'R9'!$E20*'R9'!$I20,0),(IF(AND($S$4="Multi",$R$4="PY"),ROUND($E20*$I20*((1+$M20)^3)/12*'W9'!$F$5,0),(IF(AND($S$4&lt;&gt;"Multi",$R$4="FY"),ROUND(((1+$S$4)^('W9'!$B$20+3)*'W9'!$F$9+(1+$S$4)^('W9'!$B$20+4)*'W9'!$F$10)/12*'R9'!$E20*'R9'!$I20,0),ROUND($E20*$I20*((1+$S$4)^3)/12*'W9'!$F$5,0))))))))</f>
        <v>0</v>
      </c>
      <c r="R20" s="187">
        <f ca="1">IF('W9'!$C$4='W9'!$D$4,(IF(AND($S$4="Multi",$R$4="FY"),ROUND(((1+$M20)^('W9'!$B$20+3)*'W9'!$G$9+(1+$M20)^('W9'!$B$20+4)*'W9'!$G$10)/12*'R9'!$E20*'R9'!$J20,0),(IF(AND($S$4="Multi",$R$4="PY"),ROUND($E20*$J20*((1+$M20)^4)/12*'W9'!$G$5,0),(IF(AND($S$4&lt;&gt;"Multi",$R$4="FY"),ROUND(((1+$S$4)^('W9'!$B$20+3)*'W9'!$G$9+(1+$S$4)^('W9'!$B$20+4)*'W9'!$G$10)/12*'R9'!$E20*'R9'!$J20,0),ROUND($E20*$J20*((1+$S$4)^4)/12*'W9'!$G$5,0))))))),(IF(AND($S$4="Multi",$R$4="FY"),ROUND(((1+$M20)^('W9'!$B$20+4)*'W9'!$G$9+(1+$M20)^('W9'!$B$20+5)*'W9'!$G$10)/12*'R9'!$E20*'R9'!$J20,0),(IF(AND($S$4="Multi",$R$4="PY"),ROUND($E20*$J20*((1+$M20)^4)/12*'W9'!$G$5,0),(IF(AND($S$4&lt;&gt;"Multi",$R$4="FY"),ROUND(((1+$S$4)^('W9'!$B$20+4)*'W9'!$G$9+(1+$S$4)^('W9'!$B$20+5)*'W9'!$G$10)/12*'R9'!$E20*'R9'!$J20,0),ROUND($E20*$J20*((1+$S$4)^4)/12*'W9'!$G$5,0))))))))</f>
        <v>0</v>
      </c>
      <c r="S20" s="188">
        <f t="shared" ca="1" si="0"/>
        <v>0</v>
      </c>
      <c r="T20" s="246"/>
      <c r="U20" s="246"/>
      <c r="V20" s="246"/>
      <c r="W20" s="246"/>
      <c r="X20" s="246"/>
      <c r="Y20" s="247"/>
      <c r="Z20" s="247"/>
      <c r="AA20" s="247"/>
      <c r="AB20" s="247"/>
      <c r="AC20" s="24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idden="1" x14ac:dyDescent="0.2">
      <c r="A21" s="192">
        <v>14</v>
      </c>
      <c r="B21" s="193"/>
      <c r="C21" s="193"/>
      <c r="D21" s="194"/>
      <c r="E21" s="195"/>
      <c r="F21" s="221"/>
      <c r="G21" s="221"/>
      <c r="H21" s="221"/>
      <c r="I21" s="221"/>
      <c r="J21" s="221"/>
      <c r="K21" s="190" t="s">
        <v>176</v>
      </c>
      <c r="L21" s="190">
        <v>12</v>
      </c>
      <c r="M21" s="191">
        <v>0.03</v>
      </c>
      <c r="N21" s="187">
        <f ca="1">IF(AND($S$4="Multi",$R$4="FY"),ROUND(((1+$M21)^'W9'!$B$20*'W9'!$C$9+(1+$M21)^('W9'!$B$20+1)*'W9'!$C$10)/12*'R9'!$E21*'R9'!$F21,0),(IF(AND($S$4="Multi",$R$4="PY"),ROUND(E21*F21/12*'W9'!$C$5,0),(IF(AND($S$4&lt;&gt;"Multi",$R$4="FY"),ROUND(((1+$S$4)^'W9'!$B$20*'W9'!$C$9+(1+$S$4)^('W9'!$B$20+1)*'W9'!$C$10)/12*'R9'!$E21*'R9'!$F21,0),ROUND($E21*$F21/12*'W9'!$C$5,0))))))</f>
        <v>0</v>
      </c>
      <c r="O21" s="187">
        <f ca="1">IF('W9'!$C$4='W9'!$D$4,(IF(AND($S$4="Multi",$R$4="FY"),ROUND(((1+$M21)^('W9'!$B$20)*'W9'!$D$9+(1+$M21)^('W9'!$B$20+1)*'W9'!$D$10)/12*'R9'!$E21*'R9'!$G21,0),(IF(AND($S$4="Multi",$R$4="PY"),ROUND($E21*$G21*(1+M21)/12*'W9'!$D$5,0),(IF(AND($S$4&lt;&gt;"Multi",$R$4="FY"),ROUND(((1+$S$4)^('W9'!$B$20)*'W9'!$D$9+(1+$S$4)^('W9'!$B$20+1)*'W9'!$D$10)/12*'R9'!$E21*'R9'!$G21,0),ROUND($E21*$G21*(1+$S$4)/12*'W9'!$D$5,0))))))),(IF(AND($S$4="Multi",$R$4="FY"),ROUND(((1+$M21)^('W9'!$B$20+1)*'W9'!$D$9+(1+$M21)^('W9'!$B$20+2)*'W9'!$D$10)/12*'R9'!$E21*'R9'!$G21,0),(IF(AND($S$4="Multi",$R$4="PY"),ROUND($E21*$G21*(1+M21)/12*'W9'!$D$5,0),(IF(AND($S$4&lt;&gt;"Multi",$R$4="FY"),ROUND(((1+$S$4)^('W9'!$B$20+1)*'W9'!$D$9+(1+$S$4)^('W9'!$B$20+2)*'W9'!$D$10)/12*'R9'!$E21*'R9'!$G21,0),ROUND($E21*$G21*(1+$S$4)/12*'W9'!$D$5,0))))))))</f>
        <v>0</v>
      </c>
      <c r="P21" s="187">
        <f ca="1">IF('W9'!$C$4='W9'!$D$4,(IF(AND($S$4="Multi",$R$4="FY"),ROUND(((1+$M21)^('W9'!$B$20+1)*'W9'!$E$9+(1+$M21)^('W9'!$B$20+2)*'W9'!$E$10)/12*'R9'!$E21*'R9'!H21,0),(IF(AND($S$4="Multi",$R$4="PY"),ROUND($E21*H21*((1+$M21)^2)/12*'W9'!$E$5,0),(IF(AND($S$4&lt;&gt;"Multi",$R$4="FY"),ROUND(((1+$S$4)^('W9'!$B$20+1)*'W9'!$E$9+(1+$S$4)^('W9'!$B$20+2)*'W9'!$E$10)/12*'R9'!$E21*'R9'!H21,0),ROUND($E21*H21*((1+$S$4)^2)/12*'W9'!$E$5,0))))))),(IF(AND($S$4="Multi",$R$4="FY"),ROUND(((1+$M21)^('W9'!$B$20+2)*'W9'!$E$9+(1+$M21)^('W9'!$B$20+3)*'W9'!$E$10)/12*'R9'!$E21*'R9'!H21,0),(IF(AND($S$4="Multi",$R$4="PY"),ROUND($E21*H21*((1+$M21)^2)/12*'W9'!$E$5,0),(IF(AND($S$4&lt;&gt;"Multi",$R$4="FY"),ROUND(((1+$S$4)^('W9'!$B$20+2)*'W9'!$E$9+(1+$S$4)^('W9'!$B$20+3)*'W9'!$E$10)/12*'R9'!$E21*'R9'!H21,0),ROUND($E21*H21*((1+$S$4)^2)/12*'W9'!$E$5,0))))))))</f>
        <v>0</v>
      </c>
      <c r="Q21" s="187">
        <f ca="1">IF('W9'!$C$4='W9'!$D$4,(IF(AND($S$4="Multi",$R$4="FY"),ROUND(((1+$M21)^('W9'!$B$20+2)*'W9'!$F$9+(1+$M21)^('W9'!$B$20+3)*'W9'!$F$10)/12*'R9'!$E21*'R9'!$I21,0),(IF(AND($S$4="Multi",$R$4="PY"),ROUND($E21*$I21*((1+$M21)^3)/12*'W9'!$F$5,0),(IF(AND($S$4&lt;&gt;"Multi",$R$4="FY"),ROUND(((1+$S$4)^('W9'!$B$20+2)*'W9'!$F$9+(1+$S$4)^('W9'!$B$20+3)*'W9'!$F$10)/12*'R9'!$E21*'R9'!$I21,0),ROUND($E21*$I21*((1+$S$4)^3)/12*'W9'!$F$5,0))))))),(IF(AND($S$4="Multi",$R$4="FY"),ROUND(((1+$M21)^('W9'!$B$20+3)*'W9'!$F$9+(1+$M21)^('W9'!$B$20+4)*'W9'!$F$10)/12*'R9'!$E21*'R9'!$I21,0),(IF(AND($S$4="Multi",$R$4="PY"),ROUND($E21*$I21*((1+$M21)^3)/12*'W9'!$F$5,0),(IF(AND($S$4&lt;&gt;"Multi",$R$4="FY"),ROUND(((1+$S$4)^('W9'!$B$20+3)*'W9'!$F$9+(1+$S$4)^('W9'!$B$20+4)*'W9'!$F$10)/12*'R9'!$E21*'R9'!$I21,0),ROUND($E21*$I21*((1+$S$4)^3)/12*'W9'!$F$5,0))))))))</f>
        <v>0</v>
      </c>
      <c r="R21" s="187">
        <f ca="1">IF('W9'!$C$4='W9'!$D$4,(IF(AND($S$4="Multi",$R$4="FY"),ROUND(((1+$M21)^('W9'!$B$20+3)*'W9'!$G$9+(1+$M21)^('W9'!$B$20+4)*'W9'!$G$10)/12*'R9'!$E21*'R9'!$J21,0),(IF(AND($S$4="Multi",$R$4="PY"),ROUND($E21*$J21*((1+$M21)^4)/12*'W9'!$G$5,0),(IF(AND($S$4&lt;&gt;"Multi",$R$4="FY"),ROUND(((1+$S$4)^('W9'!$B$20+3)*'W9'!$G$9+(1+$S$4)^('W9'!$B$20+4)*'W9'!$G$10)/12*'R9'!$E21*'R9'!$J21,0),ROUND($E21*$J21*((1+$S$4)^4)/12*'W9'!$G$5,0))))))),(IF(AND($S$4="Multi",$R$4="FY"),ROUND(((1+$M21)^('W9'!$B$20+4)*'W9'!$G$9+(1+$M21)^('W9'!$B$20+5)*'W9'!$G$10)/12*'R9'!$E21*'R9'!$J21,0),(IF(AND($S$4="Multi",$R$4="PY"),ROUND($E21*$J21*((1+$M21)^4)/12*'W9'!$G$5,0),(IF(AND($S$4&lt;&gt;"Multi",$R$4="FY"),ROUND(((1+$S$4)^('W9'!$B$20+4)*'W9'!$G$9+(1+$S$4)^('W9'!$B$20+5)*'W9'!$G$10)/12*'R9'!$E21*'R9'!$J21,0),ROUND($E21*$J21*((1+$S$4)^4)/12*'W9'!$G$5,0))))))))</f>
        <v>0</v>
      </c>
      <c r="S21" s="188">
        <f t="shared" ca="1" si="0"/>
        <v>0</v>
      </c>
      <c r="T21" s="246"/>
      <c r="U21" s="246"/>
      <c r="V21" s="246"/>
      <c r="W21" s="246"/>
      <c r="X21" s="246"/>
      <c r="Y21" s="247"/>
      <c r="Z21" s="247"/>
      <c r="AA21" s="247"/>
      <c r="AB21" s="247"/>
      <c r="AC21" s="24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idden="1" x14ac:dyDescent="0.2">
      <c r="A22" s="192">
        <v>15</v>
      </c>
      <c r="B22" s="193"/>
      <c r="C22" s="193"/>
      <c r="D22" s="194"/>
      <c r="E22" s="195"/>
      <c r="F22" s="221"/>
      <c r="G22" s="221"/>
      <c r="H22" s="221"/>
      <c r="I22" s="221"/>
      <c r="J22" s="221"/>
      <c r="K22" s="190" t="s">
        <v>176</v>
      </c>
      <c r="L22" s="190">
        <v>12</v>
      </c>
      <c r="M22" s="191">
        <v>0.03</v>
      </c>
      <c r="N22" s="187">
        <f ca="1">IF(AND($S$4="Multi",$R$4="FY"),ROUND(((1+$M22)^'W9'!$B$20*'W9'!$C$9+(1+$M22)^('W9'!$B$20+1)*'W9'!$C$10)/12*'R9'!$E22*'R9'!$F22,0),(IF(AND($S$4="Multi",$R$4="PY"),ROUND(E22*F22/12*'W9'!$C$5,0),(IF(AND($S$4&lt;&gt;"Multi",$R$4="FY"),ROUND(((1+$S$4)^'W9'!$B$20*'W9'!$C$9+(1+$S$4)^('W9'!$B$20+1)*'W9'!$C$10)/12*'R9'!$E22*'R9'!$F22,0),ROUND($E22*$F22/12*'W9'!$C$5,0))))))</f>
        <v>0</v>
      </c>
      <c r="O22" s="187">
        <f ca="1">IF('W9'!$C$4='W9'!$D$4,(IF(AND($S$4="Multi",$R$4="FY"),ROUND(((1+$M22)^('W9'!$B$20)*'W9'!$D$9+(1+$M22)^('W9'!$B$20+1)*'W9'!$D$10)/12*'R9'!$E22*'R9'!$G22,0),(IF(AND($S$4="Multi",$R$4="PY"),ROUND($E22*$G22*(1+M22)/12*'W9'!$D$5,0),(IF(AND($S$4&lt;&gt;"Multi",$R$4="FY"),ROUND(((1+$S$4)^('W9'!$B$20)*'W9'!$D$9+(1+$S$4)^('W9'!$B$20+1)*'W9'!$D$10)/12*'R9'!$E22*'R9'!$G22,0),ROUND($E22*$G22*(1+$S$4)/12*'W9'!$D$5,0))))))),(IF(AND($S$4="Multi",$R$4="FY"),ROUND(((1+$M22)^('W9'!$B$20+1)*'W9'!$D$9+(1+$M22)^('W9'!$B$20+2)*'W9'!$D$10)/12*'R9'!$E22*'R9'!$G22,0),(IF(AND($S$4="Multi",$R$4="PY"),ROUND($E22*$G22*(1+M22)/12*'W9'!$D$5,0),(IF(AND($S$4&lt;&gt;"Multi",$R$4="FY"),ROUND(((1+$S$4)^('W9'!$B$20+1)*'W9'!$D$9+(1+$S$4)^('W9'!$B$20+2)*'W9'!$D$10)/12*'R9'!$E22*'R9'!$G22,0),ROUND($E22*$G22*(1+$S$4)/12*'W9'!$D$5,0))))))))</f>
        <v>0</v>
      </c>
      <c r="P22" s="187">
        <f ca="1">IF('W9'!$C$4='W9'!$D$4,(IF(AND($S$4="Multi",$R$4="FY"),ROUND(((1+$M22)^('W9'!$B$20+1)*'W9'!$E$9+(1+$M22)^('W9'!$B$20+2)*'W9'!$E$10)/12*'R9'!$E22*'R9'!H22,0),(IF(AND($S$4="Multi",$R$4="PY"),ROUND($E22*H22*((1+$M22)^2)/12*'W9'!$E$5,0),(IF(AND($S$4&lt;&gt;"Multi",$R$4="FY"),ROUND(((1+$S$4)^('W9'!$B$20+1)*'W9'!$E$9+(1+$S$4)^('W9'!$B$20+2)*'W9'!$E$10)/12*'R9'!$E22*'R9'!H22,0),ROUND($E22*H22*((1+$S$4)^2)/12*'W9'!$E$5,0))))))),(IF(AND($S$4="Multi",$R$4="FY"),ROUND(((1+$M22)^('W9'!$B$20+2)*'W9'!$E$9+(1+$M22)^('W9'!$B$20+3)*'W9'!$E$10)/12*'R9'!$E22*'R9'!H22,0),(IF(AND($S$4="Multi",$R$4="PY"),ROUND($E22*H22*((1+$M22)^2)/12*'W9'!$E$5,0),(IF(AND($S$4&lt;&gt;"Multi",$R$4="FY"),ROUND(((1+$S$4)^('W9'!$B$20+2)*'W9'!$E$9+(1+$S$4)^('W9'!$B$20+3)*'W9'!$E$10)/12*'R9'!$E22*'R9'!H22,0),ROUND($E22*H22*((1+$S$4)^2)/12*'W9'!$E$5,0))))))))</f>
        <v>0</v>
      </c>
      <c r="Q22" s="187">
        <f ca="1">IF('W9'!$C$4='W9'!$D$4,(IF(AND($S$4="Multi",$R$4="FY"),ROUND(((1+$M22)^('W9'!$B$20+2)*'W9'!$F$9+(1+$M22)^('W9'!$B$20+3)*'W9'!$F$10)/12*'R9'!$E22*'R9'!$I22,0),(IF(AND($S$4="Multi",$R$4="PY"),ROUND($E22*$I22*((1+$M22)^3)/12*'W9'!$F$5,0),(IF(AND($S$4&lt;&gt;"Multi",$R$4="FY"),ROUND(((1+$S$4)^('W9'!$B$20+2)*'W9'!$F$9+(1+$S$4)^('W9'!$B$20+3)*'W9'!$F$10)/12*'R9'!$E22*'R9'!$I22,0),ROUND($E22*$I22*((1+$S$4)^3)/12*'W9'!$F$5,0))))))),(IF(AND($S$4="Multi",$R$4="FY"),ROUND(((1+$M22)^('W9'!$B$20+3)*'W9'!$F$9+(1+$M22)^('W9'!$B$20+4)*'W9'!$F$10)/12*'R9'!$E22*'R9'!$I22,0),(IF(AND($S$4="Multi",$R$4="PY"),ROUND($E22*$I22*((1+$M22)^3)/12*'W9'!$F$5,0),(IF(AND($S$4&lt;&gt;"Multi",$R$4="FY"),ROUND(((1+$S$4)^('W9'!$B$20+3)*'W9'!$F$9+(1+$S$4)^('W9'!$B$20+4)*'W9'!$F$10)/12*'R9'!$E22*'R9'!$I22,0),ROUND($E22*$I22*((1+$S$4)^3)/12*'W9'!$F$5,0))))))))</f>
        <v>0</v>
      </c>
      <c r="R22" s="187">
        <f ca="1">IF('W9'!$C$4='W9'!$D$4,(IF(AND($S$4="Multi",$R$4="FY"),ROUND(((1+$M22)^('W9'!$B$20+3)*'W9'!$G$9+(1+$M22)^('W9'!$B$20+4)*'W9'!$G$10)/12*'R9'!$E22*'R9'!$J22,0),(IF(AND($S$4="Multi",$R$4="PY"),ROUND($E22*$J22*((1+$M22)^4)/12*'W9'!$G$5,0),(IF(AND($S$4&lt;&gt;"Multi",$R$4="FY"),ROUND(((1+$S$4)^('W9'!$B$20+3)*'W9'!$G$9+(1+$S$4)^('W9'!$B$20+4)*'W9'!$G$10)/12*'R9'!$E22*'R9'!$J22,0),ROUND($E22*$J22*((1+$S$4)^4)/12*'W9'!$G$5,0))))))),(IF(AND($S$4="Multi",$R$4="FY"),ROUND(((1+$M22)^('W9'!$B$20+4)*'W9'!$G$9+(1+$M22)^('W9'!$B$20+5)*'W9'!$G$10)/12*'R9'!$E22*'R9'!$J22,0),(IF(AND($S$4="Multi",$R$4="PY"),ROUND($E22*$J22*((1+$M22)^4)/12*'W9'!$G$5,0),(IF(AND($S$4&lt;&gt;"Multi",$R$4="FY"),ROUND(((1+$S$4)^('W9'!$B$20+4)*'W9'!$G$9+(1+$S$4)^('W9'!$B$20+5)*'W9'!$G$10)/12*'R9'!$E22*'R9'!$J22,0),ROUND($E22*$J22*((1+$S$4)^4)/12*'W9'!$G$5,0))))))))</f>
        <v>0</v>
      </c>
      <c r="S22" s="188">
        <f t="shared" ca="1" si="0"/>
        <v>0</v>
      </c>
      <c r="T22" s="246"/>
      <c r="U22" s="246"/>
      <c r="V22" s="246"/>
      <c r="W22" s="246"/>
      <c r="X22" s="246"/>
      <c r="Y22" s="247"/>
      <c r="Z22" s="247"/>
      <c r="AA22" s="247"/>
      <c r="AB22" s="247"/>
      <c r="AC22" s="24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idden="1" x14ac:dyDescent="0.2">
      <c r="A23" s="192">
        <v>16</v>
      </c>
      <c r="B23" s="193"/>
      <c r="C23" s="193"/>
      <c r="D23" s="194"/>
      <c r="E23" s="195"/>
      <c r="F23" s="221"/>
      <c r="G23" s="221"/>
      <c r="H23" s="221"/>
      <c r="I23" s="221"/>
      <c r="J23" s="221"/>
      <c r="K23" s="190" t="s">
        <v>176</v>
      </c>
      <c r="L23" s="190">
        <v>12</v>
      </c>
      <c r="M23" s="191">
        <v>0.03</v>
      </c>
      <c r="N23" s="187">
        <f ca="1">IF(AND($S$4="Multi",$R$4="FY"),ROUND(((1+$M23)^'W9'!$B$20*'W9'!$C$9+(1+$M23)^('W9'!$B$20+1)*'W9'!$C$10)/12*'R9'!$E23*'R9'!$F23,0),(IF(AND($S$4="Multi",$R$4="PY"),ROUND(E23*F23/12*'W9'!$C$5,0),(IF(AND($S$4&lt;&gt;"Multi",$R$4="FY"),ROUND(((1+$S$4)^'W9'!$B$20*'W9'!$C$9+(1+$S$4)^('W9'!$B$20+1)*'W9'!$C$10)/12*'R9'!$E23*'R9'!$F23,0),ROUND($E23*$F23/12*'W9'!$C$5,0))))))</f>
        <v>0</v>
      </c>
      <c r="O23" s="187">
        <f ca="1">IF('W9'!$C$4='W9'!$D$4,(IF(AND($S$4="Multi",$R$4="FY"),ROUND(((1+$M23)^('W9'!$B$20)*'W9'!$D$9+(1+$M23)^('W9'!$B$20+1)*'W9'!$D$10)/12*'R9'!$E23*'R9'!$G23,0),(IF(AND($S$4="Multi",$R$4="PY"),ROUND($E23*$G23*(1+M23)/12*'W9'!$D$5,0),(IF(AND($S$4&lt;&gt;"Multi",$R$4="FY"),ROUND(((1+$S$4)^('W9'!$B$20)*'W9'!$D$9+(1+$S$4)^('W9'!$B$20+1)*'W9'!$D$10)/12*'R9'!$E23*'R9'!$G23,0),ROUND($E23*$G23*(1+$S$4)/12*'W9'!$D$5,0))))))),(IF(AND($S$4="Multi",$R$4="FY"),ROUND(((1+$M23)^('W9'!$B$20+1)*'W9'!$D$9+(1+$M23)^('W9'!$B$20+2)*'W9'!$D$10)/12*'R9'!$E23*'R9'!$G23,0),(IF(AND($S$4="Multi",$R$4="PY"),ROUND($E23*$G23*(1+M23)/12*'W9'!$D$5,0),(IF(AND($S$4&lt;&gt;"Multi",$R$4="FY"),ROUND(((1+$S$4)^('W9'!$B$20+1)*'W9'!$D$9+(1+$S$4)^('W9'!$B$20+2)*'W9'!$D$10)/12*'R9'!$E23*'R9'!$G23,0),ROUND($E23*$G23*(1+$S$4)/12*'W9'!$D$5,0))))))))</f>
        <v>0</v>
      </c>
      <c r="P23" s="187">
        <f ca="1">IF('W9'!$C$4='W9'!$D$4,(IF(AND($S$4="Multi",$R$4="FY"),ROUND(((1+$M23)^('W9'!$B$20+1)*'W9'!$E$9+(1+$M23)^('W9'!$B$20+2)*'W9'!$E$10)/12*'R9'!$E23*'R9'!H23,0),(IF(AND($S$4="Multi",$R$4="PY"),ROUND($E23*H23*((1+$M23)^2)/12*'W9'!$E$5,0),(IF(AND($S$4&lt;&gt;"Multi",$R$4="FY"),ROUND(((1+$S$4)^('W9'!$B$20+1)*'W9'!$E$9+(1+$S$4)^('W9'!$B$20+2)*'W9'!$E$10)/12*'R9'!$E23*'R9'!H23,0),ROUND($E23*H23*((1+$S$4)^2)/12*'W9'!$E$5,0))))))),(IF(AND($S$4="Multi",$R$4="FY"),ROUND(((1+$M23)^('W9'!$B$20+2)*'W9'!$E$9+(1+$M23)^('W9'!$B$20+3)*'W9'!$E$10)/12*'R9'!$E23*'R9'!H23,0),(IF(AND($S$4="Multi",$R$4="PY"),ROUND($E23*H23*((1+$M23)^2)/12*'W9'!$E$5,0),(IF(AND($S$4&lt;&gt;"Multi",$R$4="FY"),ROUND(((1+$S$4)^('W9'!$B$20+2)*'W9'!$E$9+(1+$S$4)^('W9'!$B$20+3)*'W9'!$E$10)/12*'R9'!$E23*'R9'!H23,0),ROUND($E23*H23*((1+$S$4)^2)/12*'W9'!$E$5,0))))))))</f>
        <v>0</v>
      </c>
      <c r="Q23" s="187">
        <f ca="1">IF('W9'!$C$4='W9'!$D$4,(IF(AND($S$4="Multi",$R$4="FY"),ROUND(((1+$M23)^('W9'!$B$20+2)*'W9'!$F$9+(1+$M23)^('W9'!$B$20+3)*'W9'!$F$10)/12*'R9'!$E23*'R9'!$I23,0),(IF(AND($S$4="Multi",$R$4="PY"),ROUND($E23*$I23*((1+$M23)^3)/12*'W9'!$F$5,0),(IF(AND($S$4&lt;&gt;"Multi",$R$4="FY"),ROUND(((1+$S$4)^('W9'!$B$20+2)*'W9'!$F$9+(1+$S$4)^('W9'!$B$20+3)*'W9'!$F$10)/12*'R9'!$E23*'R9'!$I23,0),ROUND($E23*$I23*((1+$S$4)^3)/12*'W9'!$F$5,0))))))),(IF(AND($S$4="Multi",$R$4="FY"),ROUND(((1+$M23)^('W9'!$B$20+3)*'W9'!$F$9+(1+$M23)^('W9'!$B$20+4)*'W9'!$F$10)/12*'R9'!$E23*'R9'!$I23,0),(IF(AND($S$4="Multi",$R$4="PY"),ROUND($E23*$I23*((1+$M23)^3)/12*'W9'!$F$5,0),(IF(AND($S$4&lt;&gt;"Multi",$R$4="FY"),ROUND(((1+$S$4)^('W9'!$B$20+3)*'W9'!$F$9+(1+$S$4)^('W9'!$B$20+4)*'W9'!$F$10)/12*'R9'!$E23*'R9'!$I23,0),ROUND($E23*$I23*((1+$S$4)^3)/12*'W9'!$F$5,0))))))))</f>
        <v>0</v>
      </c>
      <c r="R23" s="187">
        <f ca="1">IF('W9'!$C$4='W9'!$D$4,(IF(AND($S$4="Multi",$R$4="FY"),ROUND(((1+$M23)^('W9'!$B$20+3)*'W9'!$G$9+(1+$M23)^('W9'!$B$20+4)*'W9'!$G$10)/12*'R9'!$E23*'R9'!$J23,0),(IF(AND($S$4="Multi",$R$4="PY"),ROUND($E23*$J23*((1+$M23)^4)/12*'W9'!$G$5,0),(IF(AND($S$4&lt;&gt;"Multi",$R$4="FY"),ROUND(((1+$S$4)^('W9'!$B$20+3)*'W9'!$G$9+(1+$S$4)^('W9'!$B$20+4)*'W9'!$G$10)/12*'R9'!$E23*'R9'!$J23,0),ROUND($E23*$J23*((1+$S$4)^4)/12*'W9'!$G$5,0))))))),(IF(AND($S$4="Multi",$R$4="FY"),ROUND(((1+$M23)^('W9'!$B$20+4)*'W9'!$G$9+(1+$M23)^('W9'!$B$20+5)*'W9'!$G$10)/12*'R9'!$E23*'R9'!$J23,0),(IF(AND($S$4="Multi",$R$4="PY"),ROUND($E23*$J23*((1+$M23)^4)/12*'W9'!$G$5,0),(IF(AND($S$4&lt;&gt;"Multi",$R$4="FY"),ROUND(((1+$S$4)^('W9'!$B$20+4)*'W9'!$G$9+(1+$S$4)^('W9'!$B$20+5)*'W9'!$G$10)/12*'R9'!$E23*'R9'!$J23,0),ROUND($E23*$J23*((1+$S$4)^4)/12*'W9'!$G$5,0))))))))</f>
        <v>0</v>
      </c>
      <c r="S23" s="188">
        <f t="shared" ca="1" si="0"/>
        <v>0</v>
      </c>
      <c r="T23" s="246"/>
      <c r="U23" s="246"/>
      <c r="V23" s="246"/>
      <c r="W23" s="246"/>
      <c r="X23" s="246"/>
      <c r="Y23" s="247"/>
      <c r="Z23" s="247"/>
      <c r="AA23" s="247"/>
      <c r="AB23" s="247"/>
      <c r="AC23" s="24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idden="1" x14ac:dyDescent="0.2">
      <c r="A24" s="192">
        <v>17</v>
      </c>
      <c r="B24" s="193"/>
      <c r="C24" s="193"/>
      <c r="D24" s="194"/>
      <c r="E24" s="195"/>
      <c r="F24" s="221"/>
      <c r="G24" s="221"/>
      <c r="H24" s="221"/>
      <c r="I24" s="221"/>
      <c r="J24" s="221"/>
      <c r="K24" s="190" t="s">
        <v>176</v>
      </c>
      <c r="L24" s="190">
        <v>12</v>
      </c>
      <c r="M24" s="191">
        <v>0.03</v>
      </c>
      <c r="N24" s="187">
        <f ca="1">IF(AND($S$4="Multi",$R$4="FY"),ROUND(((1+$M24)^'W9'!$B$20*'W9'!$C$9+(1+$M24)^('W9'!$B$20+1)*'W9'!$C$10)/12*'R9'!$E24*'R9'!$F24,0),(IF(AND($S$4="Multi",$R$4="PY"),ROUND(E24*F24/12*'W9'!$C$5,0),(IF(AND($S$4&lt;&gt;"Multi",$R$4="FY"),ROUND(((1+$S$4)^'W9'!$B$20*'W9'!$C$9+(1+$S$4)^('W9'!$B$20+1)*'W9'!$C$10)/12*'R9'!$E24*'R9'!$F24,0),ROUND($E24*$F24/12*'W9'!$C$5,0))))))</f>
        <v>0</v>
      </c>
      <c r="O24" s="187">
        <f ca="1">IF('W9'!$C$4='W9'!$D$4,(IF(AND($S$4="Multi",$R$4="FY"),ROUND(((1+$M24)^('W9'!$B$20)*'W9'!$D$9+(1+$M24)^('W9'!$B$20+1)*'W9'!$D$10)/12*'R9'!$E24*'R9'!$G24,0),(IF(AND($S$4="Multi",$R$4="PY"),ROUND($E24*$G24*(1+M24)/12*'W9'!$D$5,0),(IF(AND($S$4&lt;&gt;"Multi",$R$4="FY"),ROUND(((1+$S$4)^('W9'!$B$20)*'W9'!$D$9+(1+$S$4)^('W9'!$B$20+1)*'W9'!$D$10)/12*'R9'!$E24*'R9'!$G24,0),ROUND($E24*$G24*(1+$S$4)/12*'W9'!$D$5,0))))))),(IF(AND($S$4="Multi",$R$4="FY"),ROUND(((1+$M24)^('W9'!$B$20+1)*'W9'!$D$9+(1+$M24)^('W9'!$B$20+2)*'W9'!$D$10)/12*'R9'!$E24*'R9'!$G24,0),(IF(AND($S$4="Multi",$R$4="PY"),ROUND($E24*$G24*(1+M24)/12*'W9'!$D$5,0),(IF(AND($S$4&lt;&gt;"Multi",$R$4="FY"),ROUND(((1+$S$4)^('W9'!$B$20+1)*'W9'!$D$9+(1+$S$4)^('W9'!$B$20+2)*'W9'!$D$10)/12*'R9'!$E24*'R9'!$G24,0),ROUND($E24*$G24*(1+$S$4)/12*'W9'!$D$5,0))))))))</f>
        <v>0</v>
      </c>
      <c r="P24" s="187">
        <f ca="1">IF('W9'!$C$4='W9'!$D$4,(IF(AND($S$4="Multi",$R$4="FY"),ROUND(((1+$M24)^('W9'!$B$20+1)*'W9'!$E$9+(1+$M24)^('W9'!$B$20+2)*'W9'!$E$10)/12*'R9'!$E24*'R9'!H24,0),(IF(AND($S$4="Multi",$R$4="PY"),ROUND($E24*H24*((1+$M24)^2)/12*'W9'!$E$5,0),(IF(AND($S$4&lt;&gt;"Multi",$R$4="FY"),ROUND(((1+$S$4)^('W9'!$B$20+1)*'W9'!$E$9+(1+$S$4)^('W9'!$B$20+2)*'W9'!$E$10)/12*'R9'!$E24*'R9'!H24,0),ROUND($E24*H24*((1+$S$4)^2)/12*'W9'!$E$5,0))))))),(IF(AND($S$4="Multi",$R$4="FY"),ROUND(((1+$M24)^('W9'!$B$20+2)*'W9'!$E$9+(1+$M24)^('W9'!$B$20+3)*'W9'!$E$10)/12*'R9'!$E24*'R9'!H24,0),(IF(AND($S$4="Multi",$R$4="PY"),ROUND($E24*H24*((1+$M24)^2)/12*'W9'!$E$5,0),(IF(AND($S$4&lt;&gt;"Multi",$R$4="FY"),ROUND(((1+$S$4)^('W9'!$B$20+2)*'W9'!$E$9+(1+$S$4)^('W9'!$B$20+3)*'W9'!$E$10)/12*'R9'!$E24*'R9'!H24,0),ROUND($E24*H24*((1+$S$4)^2)/12*'W9'!$E$5,0))))))))</f>
        <v>0</v>
      </c>
      <c r="Q24" s="187">
        <f ca="1">IF('W9'!$C$4='W9'!$D$4,(IF(AND($S$4="Multi",$R$4="FY"),ROUND(((1+$M24)^('W9'!$B$20+2)*'W9'!$F$9+(1+$M24)^('W9'!$B$20+3)*'W9'!$F$10)/12*'R9'!$E24*'R9'!$I24,0),(IF(AND($S$4="Multi",$R$4="PY"),ROUND($E24*$I24*((1+$M24)^3)/12*'W9'!$F$5,0),(IF(AND($S$4&lt;&gt;"Multi",$R$4="FY"),ROUND(((1+$S$4)^('W9'!$B$20+2)*'W9'!$F$9+(1+$S$4)^('W9'!$B$20+3)*'W9'!$F$10)/12*'R9'!$E24*'R9'!$I24,0),ROUND($E24*$I24*((1+$S$4)^3)/12*'W9'!$F$5,0))))))),(IF(AND($S$4="Multi",$R$4="FY"),ROUND(((1+$M24)^('W9'!$B$20+3)*'W9'!$F$9+(1+$M24)^('W9'!$B$20+4)*'W9'!$F$10)/12*'R9'!$E24*'R9'!$I24,0),(IF(AND($S$4="Multi",$R$4="PY"),ROUND($E24*$I24*((1+$M24)^3)/12*'W9'!$F$5,0),(IF(AND($S$4&lt;&gt;"Multi",$R$4="FY"),ROUND(((1+$S$4)^('W9'!$B$20+3)*'W9'!$F$9+(1+$S$4)^('W9'!$B$20+4)*'W9'!$F$10)/12*'R9'!$E24*'R9'!$I24,0),ROUND($E24*$I24*((1+$S$4)^3)/12*'W9'!$F$5,0))))))))</f>
        <v>0</v>
      </c>
      <c r="R24" s="187">
        <f ca="1">IF('W9'!$C$4='W9'!$D$4,(IF(AND($S$4="Multi",$R$4="FY"),ROUND(((1+$M24)^('W9'!$B$20+3)*'W9'!$G$9+(1+$M24)^('W9'!$B$20+4)*'W9'!$G$10)/12*'R9'!$E24*'R9'!$J24,0),(IF(AND($S$4="Multi",$R$4="PY"),ROUND($E24*$J24*((1+$M24)^4)/12*'W9'!$G$5,0),(IF(AND($S$4&lt;&gt;"Multi",$R$4="FY"),ROUND(((1+$S$4)^('W9'!$B$20+3)*'W9'!$G$9+(1+$S$4)^('W9'!$B$20+4)*'W9'!$G$10)/12*'R9'!$E24*'R9'!$J24,0),ROUND($E24*$J24*((1+$S$4)^4)/12*'W9'!$G$5,0))))))),(IF(AND($S$4="Multi",$R$4="FY"),ROUND(((1+$M24)^('W9'!$B$20+4)*'W9'!$G$9+(1+$M24)^('W9'!$B$20+5)*'W9'!$G$10)/12*'R9'!$E24*'R9'!$J24,0),(IF(AND($S$4="Multi",$R$4="PY"),ROUND($E24*$J24*((1+$M24)^4)/12*'W9'!$G$5,0),(IF(AND($S$4&lt;&gt;"Multi",$R$4="FY"),ROUND(((1+$S$4)^('W9'!$B$20+4)*'W9'!$G$9+(1+$S$4)^('W9'!$B$20+5)*'W9'!$G$10)/12*'R9'!$E24*'R9'!$J24,0),ROUND($E24*$J24*((1+$S$4)^4)/12*'W9'!$G$5,0))))))))</f>
        <v>0</v>
      </c>
      <c r="S24" s="188">
        <f t="shared" ca="1" si="0"/>
        <v>0</v>
      </c>
      <c r="T24" s="246"/>
      <c r="U24" s="246"/>
      <c r="V24" s="246"/>
      <c r="W24" s="246"/>
      <c r="X24" s="246"/>
      <c r="Y24" s="247"/>
      <c r="Z24" s="247"/>
      <c r="AA24" s="247"/>
      <c r="AB24" s="247"/>
      <c r="AC24" s="24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idden="1" x14ac:dyDescent="0.2">
      <c r="A25" s="192">
        <v>18</v>
      </c>
      <c r="B25" s="193"/>
      <c r="C25" s="193"/>
      <c r="D25" s="194"/>
      <c r="E25" s="195"/>
      <c r="F25" s="221"/>
      <c r="G25" s="221"/>
      <c r="H25" s="221"/>
      <c r="I25" s="221"/>
      <c r="J25" s="221"/>
      <c r="K25" s="190" t="s">
        <v>176</v>
      </c>
      <c r="L25" s="190">
        <v>12</v>
      </c>
      <c r="M25" s="191">
        <v>0.03</v>
      </c>
      <c r="N25" s="187">
        <f ca="1">IF(AND($S$4="Multi",$R$4="FY"),ROUND(((1+$M25)^'W9'!$B$20*'W9'!$C$9+(1+$M25)^('W9'!$B$20+1)*'W9'!$C$10)/12*'R9'!$E25*'R9'!$F25,0),(IF(AND($S$4="Multi",$R$4="PY"),ROUND(E25*F25/12*'W9'!$C$5,0),(IF(AND($S$4&lt;&gt;"Multi",$R$4="FY"),ROUND(((1+$S$4)^'W9'!$B$20*'W9'!$C$9+(1+$S$4)^('W9'!$B$20+1)*'W9'!$C$10)/12*'R9'!$E25*'R9'!$F25,0),ROUND($E25*$F25/12*'W9'!$C$5,0))))))</f>
        <v>0</v>
      </c>
      <c r="O25" s="187">
        <f ca="1">IF('W9'!$C$4='W9'!$D$4,(IF(AND($S$4="Multi",$R$4="FY"),ROUND(((1+$M25)^('W9'!$B$20)*'W9'!$D$9+(1+$M25)^('W9'!$B$20+1)*'W9'!$D$10)/12*'R9'!$E25*'R9'!$G25,0),(IF(AND($S$4="Multi",$R$4="PY"),ROUND($E25*$G25*(1+M25)/12*'W9'!$D$5,0),(IF(AND($S$4&lt;&gt;"Multi",$R$4="FY"),ROUND(((1+$S$4)^('W9'!$B$20)*'W9'!$D$9+(1+$S$4)^('W9'!$B$20+1)*'W9'!$D$10)/12*'R9'!$E25*'R9'!$G25,0),ROUND($E25*$G25*(1+$S$4)/12*'W9'!$D$5,0))))))),(IF(AND($S$4="Multi",$R$4="FY"),ROUND(((1+$M25)^('W9'!$B$20+1)*'W9'!$D$9+(1+$M25)^('W9'!$B$20+2)*'W9'!$D$10)/12*'R9'!$E25*'R9'!$G25,0),(IF(AND($S$4="Multi",$R$4="PY"),ROUND($E25*$G25*(1+M25)/12*'W9'!$D$5,0),(IF(AND($S$4&lt;&gt;"Multi",$R$4="FY"),ROUND(((1+$S$4)^('W9'!$B$20+1)*'W9'!$D$9+(1+$S$4)^('W9'!$B$20+2)*'W9'!$D$10)/12*'R9'!$E25*'R9'!$G25,0),ROUND($E25*$G25*(1+$S$4)/12*'W9'!$D$5,0))))))))</f>
        <v>0</v>
      </c>
      <c r="P25" s="187">
        <f ca="1">IF('W9'!$C$4='W9'!$D$4,(IF(AND($S$4="Multi",$R$4="FY"),ROUND(((1+$M25)^('W9'!$B$20+1)*'W9'!$E$9+(1+$M25)^('W9'!$B$20+2)*'W9'!$E$10)/12*'R9'!$E25*'R9'!H25,0),(IF(AND($S$4="Multi",$R$4="PY"),ROUND($E25*H25*((1+$M25)^2)/12*'W9'!$E$5,0),(IF(AND($S$4&lt;&gt;"Multi",$R$4="FY"),ROUND(((1+$S$4)^('W9'!$B$20+1)*'W9'!$E$9+(1+$S$4)^('W9'!$B$20+2)*'W9'!$E$10)/12*'R9'!$E25*'R9'!H25,0),ROUND($E25*H25*((1+$S$4)^2)/12*'W9'!$E$5,0))))))),(IF(AND($S$4="Multi",$R$4="FY"),ROUND(((1+$M25)^('W9'!$B$20+2)*'W9'!$E$9+(1+$M25)^('W9'!$B$20+3)*'W9'!$E$10)/12*'R9'!$E25*'R9'!H25,0),(IF(AND($S$4="Multi",$R$4="PY"),ROUND($E25*H25*((1+$M25)^2)/12*'W9'!$E$5,0),(IF(AND($S$4&lt;&gt;"Multi",$R$4="FY"),ROUND(((1+$S$4)^('W9'!$B$20+2)*'W9'!$E$9+(1+$S$4)^('W9'!$B$20+3)*'W9'!$E$10)/12*'R9'!$E25*'R9'!H25,0),ROUND($E25*H25*((1+$S$4)^2)/12*'W9'!$E$5,0))))))))</f>
        <v>0</v>
      </c>
      <c r="Q25" s="187">
        <f ca="1">IF('W9'!$C$4='W9'!$D$4,(IF(AND($S$4="Multi",$R$4="FY"),ROUND(((1+$M25)^('W9'!$B$20+2)*'W9'!$F$9+(1+$M25)^('W9'!$B$20+3)*'W9'!$F$10)/12*'R9'!$E25*'R9'!$I25,0),(IF(AND($S$4="Multi",$R$4="PY"),ROUND($E25*$I25*((1+$M25)^3)/12*'W9'!$F$5,0),(IF(AND($S$4&lt;&gt;"Multi",$R$4="FY"),ROUND(((1+$S$4)^('W9'!$B$20+2)*'W9'!$F$9+(1+$S$4)^('W9'!$B$20+3)*'W9'!$F$10)/12*'R9'!$E25*'R9'!$I25,0),ROUND($E25*$I25*((1+$S$4)^3)/12*'W9'!$F$5,0))))))),(IF(AND($S$4="Multi",$R$4="FY"),ROUND(((1+$M25)^('W9'!$B$20+3)*'W9'!$F$9+(1+$M25)^('W9'!$B$20+4)*'W9'!$F$10)/12*'R9'!$E25*'R9'!$I25,0),(IF(AND($S$4="Multi",$R$4="PY"),ROUND($E25*$I25*((1+$M25)^3)/12*'W9'!$F$5,0),(IF(AND($S$4&lt;&gt;"Multi",$R$4="FY"),ROUND(((1+$S$4)^('W9'!$B$20+3)*'W9'!$F$9+(1+$S$4)^('W9'!$B$20+4)*'W9'!$F$10)/12*'R9'!$E25*'R9'!$I25,0),ROUND($E25*$I25*((1+$S$4)^3)/12*'W9'!$F$5,0))))))))</f>
        <v>0</v>
      </c>
      <c r="R25" s="187">
        <f ca="1">IF('W9'!$C$4='W9'!$D$4,(IF(AND($S$4="Multi",$R$4="FY"),ROUND(((1+$M25)^('W9'!$B$20+3)*'W9'!$G$9+(1+$M25)^('W9'!$B$20+4)*'W9'!$G$10)/12*'R9'!$E25*'R9'!$J25,0),(IF(AND($S$4="Multi",$R$4="PY"),ROUND($E25*$J25*((1+$M25)^4)/12*'W9'!$G$5,0),(IF(AND($S$4&lt;&gt;"Multi",$R$4="FY"),ROUND(((1+$S$4)^('W9'!$B$20+3)*'W9'!$G$9+(1+$S$4)^('W9'!$B$20+4)*'W9'!$G$10)/12*'R9'!$E25*'R9'!$J25,0),ROUND($E25*$J25*((1+$S$4)^4)/12*'W9'!$G$5,0))))))),(IF(AND($S$4="Multi",$R$4="FY"),ROUND(((1+$M25)^('W9'!$B$20+4)*'W9'!$G$9+(1+$M25)^('W9'!$B$20+5)*'W9'!$G$10)/12*'R9'!$E25*'R9'!$J25,0),(IF(AND($S$4="Multi",$R$4="PY"),ROUND($E25*$J25*((1+$M25)^4)/12*'W9'!$G$5,0),(IF(AND($S$4&lt;&gt;"Multi",$R$4="FY"),ROUND(((1+$S$4)^('W9'!$B$20+4)*'W9'!$G$9+(1+$S$4)^('W9'!$B$20+5)*'W9'!$G$10)/12*'R9'!$E25*'R9'!$J25,0),ROUND($E25*$J25*((1+$S$4)^4)/12*'W9'!$G$5,0))))))))</f>
        <v>0</v>
      </c>
      <c r="S25" s="188">
        <f t="shared" ca="1" si="0"/>
        <v>0</v>
      </c>
      <c r="T25" s="246"/>
      <c r="U25" s="246"/>
      <c r="V25" s="246"/>
      <c r="W25" s="246"/>
      <c r="X25" s="246"/>
      <c r="Y25" s="247"/>
      <c r="Z25" s="247"/>
      <c r="AA25" s="247"/>
      <c r="AB25" s="247"/>
      <c r="AC25" s="24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idden="1" x14ac:dyDescent="0.2">
      <c r="A26" s="192">
        <v>19</v>
      </c>
      <c r="B26" s="193"/>
      <c r="C26" s="193"/>
      <c r="D26" s="194"/>
      <c r="E26" s="195"/>
      <c r="F26" s="221"/>
      <c r="G26" s="221"/>
      <c r="H26" s="221"/>
      <c r="I26" s="221"/>
      <c r="J26" s="221"/>
      <c r="K26" s="190" t="s">
        <v>176</v>
      </c>
      <c r="L26" s="190">
        <v>12</v>
      </c>
      <c r="M26" s="191">
        <v>0.03</v>
      </c>
      <c r="N26" s="187">
        <f ca="1">IF(AND($S$4="Multi",$R$4="FY"),ROUND(((1+$M26)^'W9'!$B$20*'W9'!$C$9+(1+$M26)^('W9'!$B$20+1)*'W9'!$C$10)/12*'R9'!$E26*'R9'!$F26,0),(IF(AND($S$4="Multi",$R$4="PY"),ROUND(E26*F26/12*'W9'!$C$5,0),(IF(AND($S$4&lt;&gt;"Multi",$R$4="FY"),ROUND(((1+$S$4)^'W9'!$B$20*'W9'!$C$9+(1+$S$4)^('W9'!$B$20+1)*'W9'!$C$10)/12*'R9'!$E26*'R9'!$F26,0),ROUND($E26*$F26/12*'W9'!$C$5,0))))))</f>
        <v>0</v>
      </c>
      <c r="O26" s="187">
        <f ca="1">IF('W9'!$C$4='W9'!$D$4,(IF(AND($S$4="Multi",$R$4="FY"),ROUND(((1+$M26)^('W9'!$B$20)*'W9'!$D$9+(1+$M26)^('W9'!$B$20+1)*'W9'!$D$10)/12*'R9'!$E26*'R9'!$G26,0),(IF(AND($S$4="Multi",$R$4="PY"),ROUND($E26*$G26*(1+M26)/12*'W9'!$D$5,0),(IF(AND($S$4&lt;&gt;"Multi",$R$4="FY"),ROUND(((1+$S$4)^('W9'!$B$20)*'W9'!$D$9+(1+$S$4)^('W9'!$B$20+1)*'W9'!$D$10)/12*'R9'!$E26*'R9'!$G26,0),ROUND($E26*$G26*(1+$S$4)/12*'W9'!$D$5,0))))))),(IF(AND($S$4="Multi",$R$4="FY"),ROUND(((1+$M26)^('W9'!$B$20+1)*'W9'!$D$9+(1+$M26)^('W9'!$B$20+2)*'W9'!$D$10)/12*'R9'!$E26*'R9'!$G26,0),(IF(AND($S$4="Multi",$R$4="PY"),ROUND($E26*$G26*(1+M26)/12*'W9'!$D$5,0),(IF(AND($S$4&lt;&gt;"Multi",$R$4="FY"),ROUND(((1+$S$4)^('W9'!$B$20+1)*'W9'!$D$9+(1+$S$4)^('W9'!$B$20+2)*'W9'!$D$10)/12*'R9'!$E26*'R9'!$G26,0),ROUND($E26*$G26*(1+$S$4)/12*'W9'!$D$5,0))))))))</f>
        <v>0</v>
      </c>
      <c r="P26" s="187">
        <f ca="1">IF('W9'!$C$4='W9'!$D$4,(IF(AND($S$4="Multi",$R$4="FY"),ROUND(((1+$M26)^('W9'!$B$20+1)*'W9'!$E$9+(1+$M26)^('W9'!$B$20+2)*'W9'!$E$10)/12*'R9'!$E26*'R9'!H26,0),(IF(AND($S$4="Multi",$R$4="PY"),ROUND($E26*H26*((1+$M26)^2)/12*'W9'!$E$5,0),(IF(AND($S$4&lt;&gt;"Multi",$R$4="FY"),ROUND(((1+$S$4)^('W9'!$B$20+1)*'W9'!$E$9+(1+$S$4)^('W9'!$B$20+2)*'W9'!$E$10)/12*'R9'!$E26*'R9'!H26,0),ROUND($E26*H26*((1+$S$4)^2)/12*'W9'!$E$5,0))))))),(IF(AND($S$4="Multi",$R$4="FY"),ROUND(((1+$M26)^('W9'!$B$20+2)*'W9'!$E$9+(1+$M26)^('W9'!$B$20+3)*'W9'!$E$10)/12*'R9'!$E26*'R9'!H26,0),(IF(AND($S$4="Multi",$R$4="PY"),ROUND($E26*H26*((1+$M26)^2)/12*'W9'!$E$5,0),(IF(AND($S$4&lt;&gt;"Multi",$R$4="FY"),ROUND(((1+$S$4)^('W9'!$B$20+2)*'W9'!$E$9+(1+$S$4)^('W9'!$B$20+3)*'W9'!$E$10)/12*'R9'!$E26*'R9'!H26,0),ROUND($E26*H26*((1+$S$4)^2)/12*'W9'!$E$5,0))))))))</f>
        <v>0</v>
      </c>
      <c r="Q26" s="187">
        <f ca="1">IF('W9'!$C$4='W9'!$D$4,(IF(AND($S$4="Multi",$R$4="FY"),ROUND(((1+$M26)^('W9'!$B$20+2)*'W9'!$F$9+(1+$M26)^('W9'!$B$20+3)*'W9'!$F$10)/12*'R9'!$E26*'R9'!$I26,0),(IF(AND($S$4="Multi",$R$4="PY"),ROUND($E26*$I26*((1+$M26)^3)/12*'W9'!$F$5,0),(IF(AND($S$4&lt;&gt;"Multi",$R$4="FY"),ROUND(((1+$S$4)^('W9'!$B$20+2)*'W9'!$F$9+(1+$S$4)^('W9'!$B$20+3)*'W9'!$F$10)/12*'R9'!$E26*'R9'!$I26,0),ROUND($E26*$I26*((1+$S$4)^3)/12*'W9'!$F$5,0))))))),(IF(AND($S$4="Multi",$R$4="FY"),ROUND(((1+$M26)^('W9'!$B$20+3)*'W9'!$F$9+(1+$M26)^('W9'!$B$20+4)*'W9'!$F$10)/12*'R9'!$E26*'R9'!$I26,0),(IF(AND($S$4="Multi",$R$4="PY"),ROUND($E26*$I26*((1+$M26)^3)/12*'W9'!$F$5,0),(IF(AND($S$4&lt;&gt;"Multi",$R$4="FY"),ROUND(((1+$S$4)^('W9'!$B$20+3)*'W9'!$F$9+(1+$S$4)^('W9'!$B$20+4)*'W9'!$F$10)/12*'R9'!$E26*'R9'!$I26,0),ROUND($E26*$I26*((1+$S$4)^3)/12*'W9'!$F$5,0))))))))</f>
        <v>0</v>
      </c>
      <c r="R26" s="187">
        <f ca="1">IF('W9'!$C$4='W9'!$D$4,(IF(AND($S$4="Multi",$R$4="FY"),ROUND(((1+$M26)^('W9'!$B$20+3)*'W9'!$G$9+(1+$M26)^('W9'!$B$20+4)*'W9'!$G$10)/12*'R9'!$E26*'R9'!$J26,0),(IF(AND($S$4="Multi",$R$4="PY"),ROUND($E26*$J26*((1+$M26)^4)/12*'W9'!$G$5,0),(IF(AND($S$4&lt;&gt;"Multi",$R$4="FY"),ROUND(((1+$S$4)^('W9'!$B$20+3)*'W9'!$G$9+(1+$S$4)^('W9'!$B$20+4)*'W9'!$G$10)/12*'R9'!$E26*'R9'!$J26,0),ROUND($E26*$J26*((1+$S$4)^4)/12*'W9'!$G$5,0))))))),(IF(AND($S$4="Multi",$R$4="FY"),ROUND(((1+$M26)^('W9'!$B$20+4)*'W9'!$G$9+(1+$M26)^('W9'!$B$20+5)*'W9'!$G$10)/12*'R9'!$E26*'R9'!$J26,0),(IF(AND($S$4="Multi",$R$4="PY"),ROUND($E26*$J26*((1+$M26)^4)/12*'W9'!$G$5,0),(IF(AND($S$4&lt;&gt;"Multi",$R$4="FY"),ROUND(((1+$S$4)^('W9'!$B$20+4)*'W9'!$G$9+(1+$S$4)^('W9'!$B$20+5)*'W9'!$G$10)/12*'R9'!$E26*'R9'!$J26,0),ROUND($E26*$J26*((1+$S$4)^4)/12*'W9'!$G$5,0))))))))</f>
        <v>0</v>
      </c>
      <c r="S26" s="188">
        <f t="shared" ca="1" si="0"/>
        <v>0</v>
      </c>
      <c r="T26" s="246"/>
      <c r="U26" s="246"/>
      <c r="V26" s="246"/>
      <c r="W26" s="246"/>
      <c r="X26" s="246"/>
      <c r="Y26" s="247"/>
      <c r="Z26" s="247"/>
      <c r="AA26" s="247"/>
      <c r="AB26" s="247"/>
      <c r="AC26" s="24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idden="1" x14ac:dyDescent="0.2">
      <c r="A27" s="192">
        <v>20</v>
      </c>
      <c r="B27" s="193"/>
      <c r="C27" s="193"/>
      <c r="D27" s="194"/>
      <c r="E27" s="195"/>
      <c r="F27" s="221"/>
      <c r="G27" s="221"/>
      <c r="H27" s="221"/>
      <c r="I27" s="221"/>
      <c r="J27" s="221"/>
      <c r="K27" s="190" t="s">
        <v>176</v>
      </c>
      <c r="L27" s="190">
        <v>12</v>
      </c>
      <c r="M27" s="191">
        <v>0.03</v>
      </c>
      <c r="N27" s="187">
        <f ca="1">IF(AND($S$4="Multi",$R$4="FY"),ROUND(((1+$M27)^'W9'!$B$20*'W9'!$C$9+(1+$M27)^('W9'!$B$20+1)*'W9'!$C$10)/12*'R9'!$E27*'R9'!$F27,0),(IF(AND($S$4="Multi",$R$4="PY"),ROUND(E27*F27/12*'W9'!$C$5,0),(IF(AND($S$4&lt;&gt;"Multi",$R$4="FY"),ROUND(((1+$S$4)^'W9'!$B$20*'W9'!$C$9+(1+$S$4)^('W9'!$B$20+1)*'W9'!$C$10)/12*'R9'!$E27*'R9'!$F27,0),ROUND($E27*$F27/12*'W9'!$C$5,0))))))</f>
        <v>0</v>
      </c>
      <c r="O27" s="187">
        <f ca="1">IF('W9'!$C$4='W9'!$D$4,(IF(AND($S$4="Multi",$R$4="FY"),ROUND(((1+$M27)^('W9'!$B$20)*'W9'!$D$9+(1+$M27)^('W9'!$B$20+1)*'W9'!$D$10)/12*'R9'!$E27*'R9'!$G27,0),(IF(AND($S$4="Multi",$R$4="PY"),ROUND($E27*$G27*(1+M27)/12*'W9'!$D$5,0),(IF(AND($S$4&lt;&gt;"Multi",$R$4="FY"),ROUND(((1+$S$4)^('W9'!$B$20)*'W9'!$D$9+(1+$S$4)^('W9'!$B$20+1)*'W9'!$D$10)/12*'R9'!$E27*'R9'!$G27,0),ROUND($E27*$G27*(1+$S$4)/12*'W9'!$D$5,0))))))),(IF(AND($S$4="Multi",$R$4="FY"),ROUND(((1+$M27)^('W9'!$B$20+1)*'W9'!$D$9+(1+$M27)^('W9'!$B$20+2)*'W9'!$D$10)/12*'R9'!$E27*'R9'!$G27,0),(IF(AND($S$4="Multi",$R$4="PY"),ROUND($E27*$G27*(1+M27)/12*'W9'!$D$5,0),(IF(AND($S$4&lt;&gt;"Multi",$R$4="FY"),ROUND(((1+$S$4)^('W9'!$B$20+1)*'W9'!$D$9+(1+$S$4)^('W9'!$B$20+2)*'W9'!$D$10)/12*'R9'!$E27*'R9'!$G27,0),ROUND($E27*$G27*(1+$S$4)/12*'W9'!$D$5,0))))))))</f>
        <v>0</v>
      </c>
      <c r="P27" s="187">
        <f ca="1">IF('W9'!$C$4='W9'!$D$4,(IF(AND($S$4="Multi",$R$4="FY"),ROUND(((1+$M27)^('W9'!$B$20+1)*'W9'!$E$9+(1+$M27)^('W9'!$B$20+2)*'W9'!$E$10)/12*'R9'!$E27*'R9'!H27,0),(IF(AND($S$4="Multi",$R$4="PY"),ROUND($E27*H27*((1+$M27)^2)/12*'W9'!$E$5,0),(IF(AND($S$4&lt;&gt;"Multi",$R$4="FY"),ROUND(((1+$S$4)^('W9'!$B$20+1)*'W9'!$E$9+(1+$S$4)^('W9'!$B$20+2)*'W9'!$E$10)/12*'R9'!$E27*'R9'!H27,0),ROUND($E27*H27*((1+$S$4)^2)/12*'W9'!$E$5,0))))))),(IF(AND($S$4="Multi",$R$4="FY"),ROUND(((1+$M27)^('W9'!$B$20+2)*'W9'!$E$9+(1+$M27)^('W9'!$B$20+3)*'W9'!$E$10)/12*'R9'!$E27*'R9'!H27,0),(IF(AND($S$4="Multi",$R$4="PY"),ROUND($E27*H27*((1+$M27)^2)/12*'W9'!$E$5,0),(IF(AND($S$4&lt;&gt;"Multi",$R$4="FY"),ROUND(((1+$S$4)^('W9'!$B$20+2)*'W9'!$E$9+(1+$S$4)^('W9'!$B$20+3)*'W9'!$E$10)/12*'R9'!$E27*'R9'!H27,0),ROUND($E27*H27*((1+$S$4)^2)/12*'W9'!$E$5,0))))))))</f>
        <v>0</v>
      </c>
      <c r="Q27" s="187">
        <f ca="1">IF('W9'!$C$4='W9'!$D$4,(IF(AND($S$4="Multi",$R$4="FY"),ROUND(((1+$M27)^('W9'!$B$20+2)*'W9'!$F$9+(1+$M27)^('W9'!$B$20+3)*'W9'!$F$10)/12*'R9'!$E27*'R9'!$I27,0),(IF(AND($S$4="Multi",$R$4="PY"),ROUND($E27*$I27*((1+$M27)^3)/12*'W9'!$F$5,0),(IF(AND($S$4&lt;&gt;"Multi",$R$4="FY"),ROUND(((1+$S$4)^('W9'!$B$20+2)*'W9'!$F$9+(1+$S$4)^('W9'!$B$20+3)*'W9'!$F$10)/12*'R9'!$E27*'R9'!$I27,0),ROUND($E27*$I27*((1+$S$4)^3)/12*'W9'!$F$5,0))))))),(IF(AND($S$4="Multi",$R$4="FY"),ROUND(((1+$M27)^('W9'!$B$20+3)*'W9'!$F$9+(1+$M27)^('W9'!$B$20+4)*'W9'!$F$10)/12*'R9'!$E27*'R9'!$I27,0),(IF(AND($S$4="Multi",$R$4="PY"),ROUND($E27*$I27*((1+$M27)^3)/12*'W9'!$F$5,0),(IF(AND($S$4&lt;&gt;"Multi",$R$4="FY"),ROUND(((1+$S$4)^('W9'!$B$20+3)*'W9'!$F$9+(1+$S$4)^('W9'!$B$20+4)*'W9'!$F$10)/12*'R9'!$E27*'R9'!$I27,0),ROUND($E27*$I27*((1+$S$4)^3)/12*'W9'!$F$5,0))))))))</f>
        <v>0</v>
      </c>
      <c r="R27" s="187">
        <f ca="1">IF('W9'!$C$4='W9'!$D$4,(IF(AND($S$4="Multi",$R$4="FY"),ROUND(((1+$M27)^('W9'!$B$20+3)*'W9'!$G$9+(1+$M27)^('W9'!$B$20+4)*'W9'!$G$10)/12*'R9'!$E27*'R9'!$J27,0),(IF(AND($S$4="Multi",$R$4="PY"),ROUND($E27*$J27*((1+$M27)^4)/12*'W9'!$G$5,0),(IF(AND($S$4&lt;&gt;"Multi",$R$4="FY"),ROUND(((1+$S$4)^('W9'!$B$20+3)*'W9'!$G$9+(1+$S$4)^('W9'!$B$20+4)*'W9'!$G$10)/12*'R9'!$E27*'R9'!$J27,0),ROUND($E27*$J27*((1+$S$4)^4)/12*'W9'!$G$5,0))))))),(IF(AND($S$4="Multi",$R$4="FY"),ROUND(((1+$M27)^('W9'!$B$20+4)*'W9'!$G$9+(1+$M27)^('W9'!$B$20+5)*'W9'!$G$10)/12*'R9'!$E27*'R9'!$J27,0),(IF(AND($S$4="Multi",$R$4="PY"),ROUND($E27*$J27*((1+$M27)^4)/12*'W9'!$G$5,0),(IF(AND($S$4&lt;&gt;"Multi",$R$4="FY"),ROUND(((1+$S$4)^('W9'!$B$20+4)*'W9'!$G$9+(1+$S$4)^('W9'!$B$20+5)*'W9'!$G$10)/12*'R9'!$E27*'R9'!$J27,0),ROUND($E27*$J27*((1+$S$4)^4)/12*'W9'!$G$5,0))))))))</f>
        <v>0</v>
      </c>
      <c r="S27" s="188">
        <f t="shared" ca="1" si="0"/>
        <v>0</v>
      </c>
      <c r="T27" s="246"/>
      <c r="U27" s="246"/>
      <c r="V27" s="246"/>
      <c r="W27" s="246"/>
      <c r="X27" s="246"/>
      <c r="Y27" s="247"/>
      <c r="Z27" s="247"/>
      <c r="AA27" s="247"/>
      <c r="AB27" s="247"/>
      <c r="AC27" s="24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idden="1" x14ac:dyDescent="0.2">
      <c r="A28" s="192">
        <v>21</v>
      </c>
      <c r="B28" s="193"/>
      <c r="C28" s="193"/>
      <c r="D28" s="194"/>
      <c r="E28" s="195"/>
      <c r="F28" s="221"/>
      <c r="G28" s="221"/>
      <c r="H28" s="221"/>
      <c r="I28" s="221"/>
      <c r="J28" s="221"/>
      <c r="K28" s="190" t="s">
        <v>176</v>
      </c>
      <c r="L28" s="190">
        <v>12</v>
      </c>
      <c r="M28" s="191">
        <v>0.03</v>
      </c>
      <c r="N28" s="187">
        <f ca="1">IF(AND($S$4="Multi",$R$4="FY"),ROUND(((1+$M28)^'W9'!$B$20*'W9'!$C$9+(1+$M28)^('W9'!$B$20+1)*'W9'!$C$10)/12*'R9'!$E28*'R9'!$F28,0),(IF(AND($S$4="Multi",$R$4="PY"),ROUND(E28*F28/12*'W9'!$C$5,0),(IF(AND($S$4&lt;&gt;"Multi",$R$4="FY"),ROUND(((1+$S$4)^'W9'!$B$20*'W9'!$C$9+(1+$S$4)^('W9'!$B$20+1)*'W9'!$C$10)/12*'R9'!$E28*'R9'!$F28,0),ROUND($E28*$F28/12*'W9'!$C$5,0))))))</f>
        <v>0</v>
      </c>
      <c r="O28" s="187">
        <f ca="1">IF('W9'!$C$4='W9'!$D$4,(IF(AND($S$4="Multi",$R$4="FY"),ROUND(((1+$M28)^('W9'!$B$20)*'W9'!$D$9+(1+$M28)^('W9'!$B$20+1)*'W9'!$D$10)/12*'R9'!$E28*'R9'!$G28,0),(IF(AND($S$4="Multi",$R$4="PY"),ROUND($E28*$G28*(1+M28)/12*'W9'!$D$5,0),(IF(AND($S$4&lt;&gt;"Multi",$R$4="FY"),ROUND(((1+$S$4)^('W9'!$B$20)*'W9'!$D$9+(1+$S$4)^('W9'!$B$20+1)*'W9'!$D$10)/12*'R9'!$E28*'R9'!$G28,0),ROUND($E28*$G28*(1+$S$4)/12*'W9'!$D$5,0))))))),(IF(AND($S$4="Multi",$R$4="FY"),ROUND(((1+$M28)^('W9'!$B$20+1)*'W9'!$D$9+(1+$M28)^('W9'!$B$20+2)*'W9'!$D$10)/12*'R9'!$E28*'R9'!$G28,0),(IF(AND($S$4="Multi",$R$4="PY"),ROUND($E28*$G28*(1+M28)/12*'W9'!$D$5,0),(IF(AND($S$4&lt;&gt;"Multi",$R$4="FY"),ROUND(((1+$S$4)^('W9'!$B$20+1)*'W9'!$D$9+(1+$S$4)^('W9'!$B$20+2)*'W9'!$D$10)/12*'R9'!$E28*'R9'!$G28,0),ROUND($E28*$G28*(1+$S$4)/12*'W9'!$D$5,0))))))))</f>
        <v>0</v>
      </c>
      <c r="P28" s="187">
        <f ca="1">IF('W9'!$C$4='W9'!$D$4,(IF(AND($S$4="Multi",$R$4="FY"),ROUND(((1+$M28)^('W9'!$B$20+1)*'W9'!$E$9+(1+$M28)^('W9'!$B$20+2)*'W9'!$E$10)/12*'R9'!$E28*'R9'!H28,0),(IF(AND($S$4="Multi",$R$4="PY"),ROUND($E28*H28*((1+$M28)^2)/12*'W9'!$E$5,0),(IF(AND($S$4&lt;&gt;"Multi",$R$4="FY"),ROUND(((1+$S$4)^('W9'!$B$20+1)*'W9'!$E$9+(1+$S$4)^('W9'!$B$20+2)*'W9'!$E$10)/12*'R9'!$E28*'R9'!H28,0),ROUND($E28*H28*((1+$S$4)^2)/12*'W9'!$E$5,0))))))),(IF(AND($S$4="Multi",$R$4="FY"),ROUND(((1+$M28)^('W9'!$B$20+2)*'W9'!$E$9+(1+$M28)^('W9'!$B$20+3)*'W9'!$E$10)/12*'R9'!$E28*'R9'!H28,0),(IF(AND($S$4="Multi",$R$4="PY"),ROUND($E28*H28*((1+$M28)^2)/12*'W9'!$E$5,0),(IF(AND($S$4&lt;&gt;"Multi",$R$4="FY"),ROUND(((1+$S$4)^('W9'!$B$20+2)*'W9'!$E$9+(1+$S$4)^('W9'!$B$20+3)*'W9'!$E$10)/12*'R9'!$E28*'R9'!H28,0),ROUND($E28*H28*((1+$S$4)^2)/12*'W9'!$E$5,0))))))))</f>
        <v>0</v>
      </c>
      <c r="Q28" s="187">
        <f ca="1">IF('W9'!$C$4='W9'!$D$4,(IF(AND($S$4="Multi",$R$4="FY"),ROUND(((1+$M28)^('W9'!$B$20+2)*'W9'!$F$9+(1+$M28)^('W9'!$B$20+3)*'W9'!$F$10)/12*'R9'!$E28*'R9'!$I28,0),(IF(AND($S$4="Multi",$R$4="PY"),ROUND($E28*$I28*((1+$M28)^3)/12*'W9'!$F$5,0),(IF(AND($S$4&lt;&gt;"Multi",$R$4="FY"),ROUND(((1+$S$4)^('W9'!$B$20+2)*'W9'!$F$9+(1+$S$4)^('W9'!$B$20+3)*'W9'!$F$10)/12*'R9'!$E28*'R9'!$I28,0),ROUND($E28*$I28*((1+$S$4)^3)/12*'W9'!$F$5,0))))))),(IF(AND($S$4="Multi",$R$4="FY"),ROUND(((1+$M28)^('W9'!$B$20+3)*'W9'!$F$9+(1+$M28)^('W9'!$B$20+4)*'W9'!$F$10)/12*'R9'!$E28*'R9'!$I28,0),(IF(AND($S$4="Multi",$R$4="PY"),ROUND($E28*$I28*((1+$M28)^3)/12*'W9'!$F$5,0),(IF(AND($S$4&lt;&gt;"Multi",$R$4="FY"),ROUND(((1+$S$4)^('W9'!$B$20+3)*'W9'!$F$9+(1+$S$4)^('W9'!$B$20+4)*'W9'!$F$10)/12*'R9'!$E28*'R9'!$I28,0),ROUND($E28*$I28*((1+$S$4)^3)/12*'W9'!$F$5,0))))))))</f>
        <v>0</v>
      </c>
      <c r="R28" s="187">
        <f ca="1">IF('W9'!$C$4='W9'!$D$4,(IF(AND($S$4="Multi",$R$4="FY"),ROUND(((1+$M28)^('W9'!$B$20+3)*'W9'!$G$9+(1+$M28)^('W9'!$B$20+4)*'W9'!$G$10)/12*'R9'!$E28*'R9'!$J28,0),(IF(AND($S$4="Multi",$R$4="PY"),ROUND($E28*$J28*((1+$M28)^4)/12*'W9'!$G$5,0),(IF(AND($S$4&lt;&gt;"Multi",$R$4="FY"),ROUND(((1+$S$4)^('W9'!$B$20+3)*'W9'!$G$9+(1+$S$4)^('W9'!$B$20+4)*'W9'!$G$10)/12*'R9'!$E28*'R9'!$J28,0),ROUND($E28*$J28*((1+$S$4)^4)/12*'W9'!$G$5,0))))))),(IF(AND($S$4="Multi",$R$4="FY"),ROUND(((1+$M28)^('W9'!$B$20+4)*'W9'!$G$9+(1+$M28)^('W9'!$B$20+5)*'W9'!$G$10)/12*'R9'!$E28*'R9'!$J28,0),(IF(AND($S$4="Multi",$R$4="PY"),ROUND($E28*$J28*((1+$M28)^4)/12*'W9'!$G$5,0),(IF(AND($S$4&lt;&gt;"Multi",$R$4="FY"),ROUND(((1+$S$4)^('W9'!$B$20+4)*'W9'!$G$9+(1+$S$4)^('W9'!$B$20+5)*'W9'!$G$10)/12*'R9'!$E28*'R9'!$J28,0),ROUND($E28*$J28*((1+$S$4)^4)/12*'W9'!$G$5,0))))))))</f>
        <v>0</v>
      </c>
      <c r="S28" s="188">
        <f t="shared" ca="1" si="0"/>
        <v>0</v>
      </c>
      <c r="T28" s="246"/>
      <c r="U28" s="246"/>
      <c r="V28" s="246"/>
      <c r="W28" s="246"/>
      <c r="X28" s="246"/>
      <c r="Y28" s="247"/>
      <c r="Z28" s="247"/>
      <c r="AA28" s="247"/>
      <c r="AB28" s="247"/>
      <c r="AC28" s="24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idden="1" x14ac:dyDescent="0.2">
      <c r="A29" s="192">
        <v>22</v>
      </c>
      <c r="B29" s="193"/>
      <c r="C29" s="193"/>
      <c r="D29" s="194"/>
      <c r="E29" s="195"/>
      <c r="F29" s="221"/>
      <c r="G29" s="221"/>
      <c r="H29" s="221"/>
      <c r="I29" s="221"/>
      <c r="J29" s="221"/>
      <c r="K29" s="190" t="s">
        <v>176</v>
      </c>
      <c r="L29" s="190">
        <v>12</v>
      </c>
      <c r="M29" s="191">
        <v>0.03</v>
      </c>
      <c r="N29" s="187">
        <f ca="1">IF(AND($S$4="Multi",$R$4="FY"),ROUND(((1+$M29)^'W9'!$B$20*'W9'!$C$9+(1+$M29)^('W9'!$B$20+1)*'W9'!$C$10)/12*'R9'!$E29*'R9'!$F29,0),(IF(AND($S$4="Multi",$R$4="PY"),ROUND(E29*F29/12*'W9'!$C$5,0),(IF(AND($S$4&lt;&gt;"Multi",$R$4="FY"),ROUND(((1+$S$4)^'W9'!$B$20*'W9'!$C$9+(1+$S$4)^('W9'!$B$20+1)*'W9'!$C$10)/12*'R9'!$E29*'R9'!$F29,0),ROUND($E29*$F29/12*'W9'!$C$5,0))))))</f>
        <v>0</v>
      </c>
      <c r="O29" s="187">
        <f ca="1">IF('W9'!$C$4='W9'!$D$4,(IF(AND($S$4="Multi",$R$4="FY"),ROUND(((1+$M29)^('W9'!$B$20)*'W9'!$D$9+(1+$M29)^('W9'!$B$20+1)*'W9'!$D$10)/12*'R9'!$E29*'R9'!$G29,0),(IF(AND($S$4="Multi",$R$4="PY"),ROUND($E29*$G29*(1+M29)/12*'W9'!$D$5,0),(IF(AND($S$4&lt;&gt;"Multi",$R$4="FY"),ROUND(((1+$S$4)^('W9'!$B$20)*'W9'!$D$9+(1+$S$4)^('W9'!$B$20+1)*'W9'!$D$10)/12*'R9'!$E29*'R9'!$G29,0),ROUND($E29*$G29*(1+$S$4)/12*'W9'!$D$5,0))))))),(IF(AND($S$4="Multi",$R$4="FY"),ROUND(((1+$M29)^('W9'!$B$20+1)*'W9'!$D$9+(1+$M29)^('W9'!$B$20+2)*'W9'!$D$10)/12*'R9'!$E29*'R9'!$G29,0),(IF(AND($S$4="Multi",$R$4="PY"),ROUND($E29*$G29*(1+M29)/12*'W9'!$D$5,0),(IF(AND($S$4&lt;&gt;"Multi",$R$4="FY"),ROUND(((1+$S$4)^('W9'!$B$20+1)*'W9'!$D$9+(1+$S$4)^('W9'!$B$20+2)*'W9'!$D$10)/12*'R9'!$E29*'R9'!$G29,0),ROUND($E29*$G29*(1+$S$4)/12*'W9'!$D$5,0))))))))</f>
        <v>0</v>
      </c>
      <c r="P29" s="187">
        <f ca="1">IF('W9'!$C$4='W9'!$D$4,(IF(AND($S$4="Multi",$R$4="FY"),ROUND(((1+$M29)^('W9'!$B$20+1)*'W9'!$E$9+(1+$M29)^('W9'!$B$20+2)*'W9'!$E$10)/12*'R9'!$E29*'R9'!H29,0),(IF(AND($S$4="Multi",$R$4="PY"),ROUND($E29*H29*((1+$M29)^2)/12*'W9'!$E$5,0),(IF(AND($S$4&lt;&gt;"Multi",$R$4="FY"),ROUND(((1+$S$4)^('W9'!$B$20+1)*'W9'!$E$9+(1+$S$4)^('W9'!$B$20+2)*'W9'!$E$10)/12*'R9'!$E29*'R9'!H29,0),ROUND($E29*H29*((1+$S$4)^2)/12*'W9'!$E$5,0))))))),(IF(AND($S$4="Multi",$R$4="FY"),ROUND(((1+$M29)^('W9'!$B$20+2)*'W9'!$E$9+(1+$M29)^('W9'!$B$20+3)*'W9'!$E$10)/12*'R9'!$E29*'R9'!H29,0),(IF(AND($S$4="Multi",$R$4="PY"),ROUND($E29*H29*((1+$M29)^2)/12*'W9'!$E$5,0),(IF(AND($S$4&lt;&gt;"Multi",$R$4="FY"),ROUND(((1+$S$4)^('W9'!$B$20+2)*'W9'!$E$9+(1+$S$4)^('W9'!$B$20+3)*'W9'!$E$10)/12*'R9'!$E29*'R9'!H29,0),ROUND($E29*H29*((1+$S$4)^2)/12*'W9'!$E$5,0))))))))</f>
        <v>0</v>
      </c>
      <c r="Q29" s="187">
        <f ca="1">IF('W9'!$C$4='W9'!$D$4,(IF(AND($S$4="Multi",$R$4="FY"),ROUND(((1+$M29)^('W9'!$B$20+2)*'W9'!$F$9+(1+$M29)^('W9'!$B$20+3)*'W9'!$F$10)/12*'R9'!$E29*'R9'!$I29,0),(IF(AND($S$4="Multi",$R$4="PY"),ROUND($E29*$I29*((1+$M29)^3)/12*'W9'!$F$5,0),(IF(AND($S$4&lt;&gt;"Multi",$R$4="FY"),ROUND(((1+$S$4)^('W9'!$B$20+2)*'W9'!$F$9+(1+$S$4)^('W9'!$B$20+3)*'W9'!$F$10)/12*'R9'!$E29*'R9'!$I29,0),ROUND($E29*$I29*((1+$S$4)^3)/12*'W9'!$F$5,0))))))),(IF(AND($S$4="Multi",$R$4="FY"),ROUND(((1+$M29)^('W9'!$B$20+3)*'W9'!$F$9+(1+$M29)^('W9'!$B$20+4)*'W9'!$F$10)/12*'R9'!$E29*'R9'!$I29,0),(IF(AND($S$4="Multi",$R$4="PY"),ROUND($E29*$I29*((1+$M29)^3)/12*'W9'!$F$5,0),(IF(AND($S$4&lt;&gt;"Multi",$R$4="FY"),ROUND(((1+$S$4)^('W9'!$B$20+3)*'W9'!$F$9+(1+$S$4)^('W9'!$B$20+4)*'W9'!$F$10)/12*'R9'!$E29*'R9'!$I29,0),ROUND($E29*$I29*((1+$S$4)^3)/12*'W9'!$F$5,0))))))))</f>
        <v>0</v>
      </c>
      <c r="R29" s="187">
        <f ca="1">IF('W9'!$C$4='W9'!$D$4,(IF(AND($S$4="Multi",$R$4="FY"),ROUND(((1+$M29)^('W9'!$B$20+3)*'W9'!$G$9+(1+$M29)^('W9'!$B$20+4)*'W9'!$G$10)/12*'R9'!$E29*'R9'!$J29,0),(IF(AND($S$4="Multi",$R$4="PY"),ROUND($E29*$J29*((1+$M29)^4)/12*'W9'!$G$5,0),(IF(AND($S$4&lt;&gt;"Multi",$R$4="FY"),ROUND(((1+$S$4)^('W9'!$B$20+3)*'W9'!$G$9+(1+$S$4)^('W9'!$B$20+4)*'W9'!$G$10)/12*'R9'!$E29*'R9'!$J29,0),ROUND($E29*$J29*((1+$S$4)^4)/12*'W9'!$G$5,0))))))),(IF(AND($S$4="Multi",$R$4="FY"),ROUND(((1+$M29)^('W9'!$B$20+4)*'W9'!$G$9+(1+$M29)^('W9'!$B$20+5)*'W9'!$G$10)/12*'R9'!$E29*'R9'!$J29,0),(IF(AND($S$4="Multi",$R$4="PY"),ROUND($E29*$J29*((1+$M29)^4)/12*'W9'!$G$5,0),(IF(AND($S$4&lt;&gt;"Multi",$R$4="FY"),ROUND(((1+$S$4)^('W9'!$B$20+4)*'W9'!$G$9+(1+$S$4)^('W9'!$B$20+5)*'W9'!$G$10)/12*'R9'!$E29*'R9'!$J29,0),ROUND($E29*$J29*((1+$S$4)^4)/12*'W9'!$G$5,0))))))))</f>
        <v>0</v>
      </c>
      <c r="S29" s="188">
        <f t="shared" ca="1" si="0"/>
        <v>0</v>
      </c>
      <c r="T29" s="246"/>
      <c r="U29" s="246"/>
      <c r="V29" s="246"/>
      <c r="W29" s="246"/>
      <c r="X29" s="246"/>
      <c r="Y29" s="247"/>
      <c r="Z29" s="247"/>
      <c r="AA29" s="247"/>
      <c r="AB29" s="247"/>
      <c r="AC29" s="24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idden="1" x14ac:dyDescent="0.2">
      <c r="A30" s="192">
        <v>23</v>
      </c>
      <c r="B30" s="193"/>
      <c r="C30" s="193"/>
      <c r="D30" s="194"/>
      <c r="E30" s="195"/>
      <c r="F30" s="221"/>
      <c r="G30" s="221"/>
      <c r="H30" s="221"/>
      <c r="I30" s="221"/>
      <c r="J30" s="221"/>
      <c r="K30" s="190" t="s">
        <v>176</v>
      </c>
      <c r="L30" s="190">
        <v>12</v>
      </c>
      <c r="M30" s="191">
        <v>0.03</v>
      </c>
      <c r="N30" s="187">
        <f ca="1">IF(AND($S$4="Multi",$R$4="FY"),ROUND(((1+$M30)^'W9'!$B$20*'W9'!$C$9+(1+$M30)^('W9'!$B$20+1)*'W9'!$C$10)/12*'R9'!$E30*'R9'!$F30,0),(IF(AND($S$4="Multi",$R$4="PY"),ROUND(E30*F30/12*'W9'!$C$5,0),(IF(AND($S$4&lt;&gt;"Multi",$R$4="FY"),ROUND(((1+$S$4)^'W9'!$B$20*'W9'!$C$9+(1+$S$4)^('W9'!$B$20+1)*'W9'!$C$10)/12*'R9'!$E30*'R9'!$F30,0),ROUND($E30*$F30/12*'W9'!$C$5,0))))))</f>
        <v>0</v>
      </c>
      <c r="O30" s="187">
        <f ca="1">IF('W9'!$C$4='W9'!$D$4,(IF(AND($S$4="Multi",$R$4="FY"),ROUND(((1+$M30)^('W9'!$B$20)*'W9'!$D$9+(1+$M30)^('W9'!$B$20+1)*'W9'!$D$10)/12*'R9'!$E30*'R9'!$G30,0),(IF(AND($S$4="Multi",$R$4="PY"),ROUND($E30*$G30*(1+M30)/12*'W9'!$D$5,0),(IF(AND($S$4&lt;&gt;"Multi",$R$4="FY"),ROUND(((1+$S$4)^('W9'!$B$20)*'W9'!$D$9+(1+$S$4)^('W9'!$B$20+1)*'W9'!$D$10)/12*'R9'!$E30*'R9'!$G30,0),ROUND($E30*$G30*(1+$S$4)/12*'W9'!$D$5,0))))))),(IF(AND($S$4="Multi",$R$4="FY"),ROUND(((1+$M30)^('W9'!$B$20+1)*'W9'!$D$9+(1+$M30)^('W9'!$B$20+2)*'W9'!$D$10)/12*'R9'!$E30*'R9'!$G30,0),(IF(AND($S$4="Multi",$R$4="PY"),ROUND($E30*$G30*(1+M30)/12*'W9'!$D$5,0),(IF(AND($S$4&lt;&gt;"Multi",$R$4="FY"),ROUND(((1+$S$4)^('W9'!$B$20+1)*'W9'!$D$9+(1+$S$4)^('W9'!$B$20+2)*'W9'!$D$10)/12*'R9'!$E30*'R9'!$G30,0),ROUND($E30*$G30*(1+$S$4)/12*'W9'!$D$5,0))))))))</f>
        <v>0</v>
      </c>
      <c r="P30" s="187">
        <f ca="1">IF('W9'!$C$4='W9'!$D$4,(IF(AND($S$4="Multi",$R$4="FY"),ROUND(((1+$M30)^('W9'!$B$20+1)*'W9'!$E$9+(1+$M30)^('W9'!$B$20+2)*'W9'!$E$10)/12*'R9'!$E30*'R9'!H30,0),(IF(AND($S$4="Multi",$R$4="PY"),ROUND($E30*H30*((1+$M30)^2)/12*'W9'!$E$5,0),(IF(AND($S$4&lt;&gt;"Multi",$R$4="FY"),ROUND(((1+$S$4)^('W9'!$B$20+1)*'W9'!$E$9+(1+$S$4)^('W9'!$B$20+2)*'W9'!$E$10)/12*'R9'!$E30*'R9'!H30,0),ROUND($E30*H30*((1+$S$4)^2)/12*'W9'!$E$5,0))))))),(IF(AND($S$4="Multi",$R$4="FY"),ROUND(((1+$M30)^('W9'!$B$20+2)*'W9'!$E$9+(1+$M30)^('W9'!$B$20+3)*'W9'!$E$10)/12*'R9'!$E30*'R9'!H30,0),(IF(AND($S$4="Multi",$R$4="PY"),ROUND($E30*H30*((1+$M30)^2)/12*'W9'!$E$5,0),(IF(AND($S$4&lt;&gt;"Multi",$R$4="FY"),ROUND(((1+$S$4)^('W9'!$B$20+2)*'W9'!$E$9+(1+$S$4)^('W9'!$B$20+3)*'W9'!$E$10)/12*'R9'!$E30*'R9'!H30,0),ROUND($E30*H30*((1+$S$4)^2)/12*'W9'!$E$5,0))))))))</f>
        <v>0</v>
      </c>
      <c r="Q30" s="187">
        <f ca="1">IF('W9'!$C$4='W9'!$D$4,(IF(AND($S$4="Multi",$R$4="FY"),ROUND(((1+$M30)^('W9'!$B$20+2)*'W9'!$F$9+(1+$M30)^('W9'!$B$20+3)*'W9'!$F$10)/12*'R9'!$E30*'R9'!$I30,0),(IF(AND($S$4="Multi",$R$4="PY"),ROUND($E30*$I30*((1+$M30)^3)/12*'W9'!$F$5,0),(IF(AND($S$4&lt;&gt;"Multi",$R$4="FY"),ROUND(((1+$S$4)^('W9'!$B$20+2)*'W9'!$F$9+(1+$S$4)^('W9'!$B$20+3)*'W9'!$F$10)/12*'R9'!$E30*'R9'!$I30,0),ROUND($E30*$I30*((1+$S$4)^3)/12*'W9'!$F$5,0))))))),(IF(AND($S$4="Multi",$R$4="FY"),ROUND(((1+$M30)^('W9'!$B$20+3)*'W9'!$F$9+(1+$M30)^('W9'!$B$20+4)*'W9'!$F$10)/12*'R9'!$E30*'R9'!$I30,0),(IF(AND($S$4="Multi",$R$4="PY"),ROUND($E30*$I30*((1+$M30)^3)/12*'W9'!$F$5,0),(IF(AND($S$4&lt;&gt;"Multi",$R$4="FY"),ROUND(((1+$S$4)^('W9'!$B$20+3)*'W9'!$F$9+(1+$S$4)^('W9'!$B$20+4)*'W9'!$F$10)/12*'R9'!$E30*'R9'!$I30,0),ROUND($E30*$I30*((1+$S$4)^3)/12*'W9'!$F$5,0))))))))</f>
        <v>0</v>
      </c>
      <c r="R30" s="187">
        <f ca="1">IF('W9'!$C$4='W9'!$D$4,(IF(AND($S$4="Multi",$R$4="FY"),ROUND(((1+$M30)^('W9'!$B$20+3)*'W9'!$G$9+(1+$M30)^('W9'!$B$20+4)*'W9'!$G$10)/12*'R9'!$E30*'R9'!$J30,0),(IF(AND($S$4="Multi",$R$4="PY"),ROUND($E30*$J30*((1+$M30)^4)/12*'W9'!$G$5,0),(IF(AND($S$4&lt;&gt;"Multi",$R$4="FY"),ROUND(((1+$S$4)^('W9'!$B$20+3)*'W9'!$G$9+(1+$S$4)^('W9'!$B$20+4)*'W9'!$G$10)/12*'R9'!$E30*'R9'!$J30,0),ROUND($E30*$J30*((1+$S$4)^4)/12*'W9'!$G$5,0))))))),(IF(AND($S$4="Multi",$R$4="FY"),ROUND(((1+$M30)^('W9'!$B$20+4)*'W9'!$G$9+(1+$M30)^('W9'!$B$20+5)*'W9'!$G$10)/12*'R9'!$E30*'R9'!$J30,0),(IF(AND($S$4="Multi",$R$4="PY"),ROUND($E30*$J30*((1+$M30)^4)/12*'W9'!$G$5,0),(IF(AND($S$4&lt;&gt;"Multi",$R$4="FY"),ROUND(((1+$S$4)^('W9'!$B$20+4)*'W9'!$G$9+(1+$S$4)^('W9'!$B$20+5)*'W9'!$G$10)/12*'R9'!$E30*'R9'!$J30,0),ROUND($E30*$J30*((1+$S$4)^4)/12*'W9'!$G$5,0))))))))</f>
        <v>0</v>
      </c>
      <c r="S30" s="188">
        <f t="shared" ca="1" si="0"/>
        <v>0</v>
      </c>
      <c r="T30" s="246"/>
      <c r="U30" s="246"/>
      <c r="V30" s="246"/>
      <c r="W30" s="246"/>
      <c r="X30" s="246"/>
      <c r="Y30" s="247"/>
      <c r="Z30" s="247"/>
      <c r="AA30" s="247"/>
      <c r="AB30" s="247"/>
      <c r="AC30" s="24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idden="1" x14ac:dyDescent="0.2">
      <c r="A31" s="192">
        <v>24</v>
      </c>
      <c r="B31" s="193"/>
      <c r="C31" s="193"/>
      <c r="D31" s="194"/>
      <c r="E31" s="195"/>
      <c r="F31" s="221"/>
      <c r="G31" s="221"/>
      <c r="H31" s="221"/>
      <c r="I31" s="221"/>
      <c r="J31" s="221"/>
      <c r="K31" s="190" t="s">
        <v>176</v>
      </c>
      <c r="L31" s="190">
        <v>12</v>
      </c>
      <c r="M31" s="191">
        <v>0.03</v>
      </c>
      <c r="N31" s="187">
        <f ca="1">IF(AND($S$4="Multi",$R$4="FY"),ROUND(((1+$M31)^'W9'!$B$20*'W9'!$C$9+(1+$M31)^('W9'!$B$20+1)*'W9'!$C$10)/12*'R9'!$E31*'R9'!$F31,0),(IF(AND($S$4="Multi",$R$4="PY"),ROUND(E31*F31/12*'W9'!$C$5,0),(IF(AND($S$4&lt;&gt;"Multi",$R$4="FY"),ROUND(((1+$S$4)^'W9'!$B$20*'W9'!$C$9+(1+$S$4)^('W9'!$B$20+1)*'W9'!$C$10)/12*'R9'!$E31*'R9'!$F31,0),ROUND($E31*$F31/12*'W9'!$C$5,0))))))</f>
        <v>0</v>
      </c>
      <c r="O31" s="187">
        <f ca="1">IF('W9'!$C$4='W9'!$D$4,(IF(AND($S$4="Multi",$R$4="FY"),ROUND(((1+$M31)^('W9'!$B$20)*'W9'!$D$9+(1+$M31)^('W9'!$B$20+1)*'W9'!$D$10)/12*'R9'!$E31*'R9'!$G31,0),(IF(AND($S$4="Multi",$R$4="PY"),ROUND($E31*$G31*(1+M31)/12*'W9'!$D$5,0),(IF(AND($S$4&lt;&gt;"Multi",$R$4="FY"),ROUND(((1+$S$4)^('W9'!$B$20)*'W9'!$D$9+(1+$S$4)^('W9'!$B$20+1)*'W9'!$D$10)/12*'R9'!$E31*'R9'!$G31,0),ROUND($E31*$G31*(1+$S$4)/12*'W9'!$D$5,0))))))),(IF(AND($S$4="Multi",$R$4="FY"),ROUND(((1+$M31)^('W9'!$B$20+1)*'W9'!$D$9+(1+$M31)^('W9'!$B$20+2)*'W9'!$D$10)/12*'R9'!$E31*'R9'!$G31,0),(IF(AND($S$4="Multi",$R$4="PY"),ROUND($E31*$G31*(1+M31)/12*'W9'!$D$5,0),(IF(AND($S$4&lt;&gt;"Multi",$R$4="FY"),ROUND(((1+$S$4)^('W9'!$B$20+1)*'W9'!$D$9+(1+$S$4)^('W9'!$B$20+2)*'W9'!$D$10)/12*'R9'!$E31*'R9'!$G31,0),ROUND($E31*$G31*(1+$S$4)/12*'W9'!$D$5,0))))))))</f>
        <v>0</v>
      </c>
      <c r="P31" s="187">
        <f ca="1">IF('W9'!$C$4='W9'!$D$4,(IF(AND($S$4="Multi",$R$4="FY"),ROUND(((1+$M31)^('W9'!$B$20+1)*'W9'!$E$9+(1+$M31)^('W9'!$B$20+2)*'W9'!$E$10)/12*'R9'!$E31*'R9'!H31,0),(IF(AND($S$4="Multi",$R$4="PY"),ROUND($E31*H31*((1+$M31)^2)/12*'W9'!$E$5,0),(IF(AND($S$4&lt;&gt;"Multi",$R$4="FY"),ROUND(((1+$S$4)^('W9'!$B$20+1)*'W9'!$E$9+(1+$S$4)^('W9'!$B$20+2)*'W9'!$E$10)/12*'R9'!$E31*'R9'!H31,0),ROUND($E31*H31*((1+$S$4)^2)/12*'W9'!$E$5,0))))))),(IF(AND($S$4="Multi",$R$4="FY"),ROUND(((1+$M31)^('W9'!$B$20+2)*'W9'!$E$9+(1+$M31)^('W9'!$B$20+3)*'W9'!$E$10)/12*'R9'!$E31*'R9'!H31,0),(IF(AND($S$4="Multi",$R$4="PY"),ROUND($E31*H31*((1+$M31)^2)/12*'W9'!$E$5,0),(IF(AND($S$4&lt;&gt;"Multi",$R$4="FY"),ROUND(((1+$S$4)^('W9'!$B$20+2)*'W9'!$E$9+(1+$S$4)^('W9'!$B$20+3)*'W9'!$E$10)/12*'R9'!$E31*'R9'!H31,0),ROUND($E31*H31*((1+$S$4)^2)/12*'W9'!$E$5,0))))))))</f>
        <v>0</v>
      </c>
      <c r="Q31" s="187">
        <f ca="1">IF('W9'!$C$4='W9'!$D$4,(IF(AND($S$4="Multi",$R$4="FY"),ROUND(((1+$M31)^('W9'!$B$20+2)*'W9'!$F$9+(1+$M31)^('W9'!$B$20+3)*'W9'!$F$10)/12*'R9'!$E31*'R9'!$I31,0),(IF(AND($S$4="Multi",$R$4="PY"),ROUND($E31*$I31*((1+$M31)^3)/12*'W9'!$F$5,0),(IF(AND($S$4&lt;&gt;"Multi",$R$4="FY"),ROUND(((1+$S$4)^('W9'!$B$20+2)*'W9'!$F$9+(1+$S$4)^('W9'!$B$20+3)*'W9'!$F$10)/12*'R9'!$E31*'R9'!$I31,0),ROUND($E31*$I31*((1+$S$4)^3)/12*'W9'!$F$5,0))))))),(IF(AND($S$4="Multi",$R$4="FY"),ROUND(((1+$M31)^('W9'!$B$20+3)*'W9'!$F$9+(1+$M31)^('W9'!$B$20+4)*'W9'!$F$10)/12*'R9'!$E31*'R9'!$I31,0),(IF(AND($S$4="Multi",$R$4="PY"),ROUND($E31*$I31*((1+$M31)^3)/12*'W9'!$F$5,0),(IF(AND($S$4&lt;&gt;"Multi",$R$4="FY"),ROUND(((1+$S$4)^('W9'!$B$20+3)*'W9'!$F$9+(1+$S$4)^('W9'!$B$20+4)*'W9'!$F$10)/12*'R9'!$E31*'R9'!$I31,0),ROUND($E31*$I31*((1+$S$4)^3)/12*'W9'!$F$5,0))))))))</f>
        <v>0</v>
      </c>
      <c r="R31" s="187">
        <f ca="1">IF('W9'!$C$4='W9'!$D$4,(IF(AND($S$4="Multi",$R$4="FY"),ROUND(((1+$M31)^('W9'!$B$20+3)*'W9'!$G$9+(1+$M31)^('W9'!$B$20+4)*'W9'!$G$10)/12*'R9'!$E31*'R9'!$J31,0),(IF(AND($S$4="Multi",$R$4="PY"),ROUND($E31*$J31*((1+$M31)^4)/12*'W9'!$G$5,0),(IF(AND($S$4&lt;&gt;"Multi",$R$4="FY"),ROUND(((1+$S$4)^('W9'!$B$20+3)*'W9'!$G$9+(1+$S$4)^('W9'!$B$20+4)*'W9'!$G$10)/12*'R9'!$E31*'R9'!$J31,0),ROUND($E31*$J31*((1+$S$4)^4)/12*'W9'!$G$5,0))))))),(IF(AND($S$4="Multi",$R$4="FY"),ROUND(((1+$M31)^('W9'!$B$20+4)*'W9'!$G$9+(1+$M31)^('W9'!$B$20+5)*'W9'!$G$10)/12*'R9'!$E31*'R9'!$J31,0),(IF(AND($S$4="Multi",$R$4="PY"),ROUND($E31*$J31*((1+$M31)^4)/12*'W9'!$G$5,0),(IF(AND($S$4&lt;&gt;"Multi",$R$4="FY"),ROUND(((1+$S$4)^('W9'!$B$20+4)*'W9'!$G$9+(1+$S$4)^('W9'!$B$20+5)*'W9'!$G$10)/12*'R9'!$E31*'R9'!$J31,0),ROUND($E31*$J31*((1+$S$4)^4)/12*'W9'!$G$5,0))))))))</f>
        <v>0</v>
      </c>
      <c r="S31" s="188">
        <f t="shared" ca="1" si="0"/>
        <v>0</v>
      </c>
      <c r="T31" s="246"/>
      <c r="U31" s="246"/>
      <c r="V31" s="246"/>
      <c r="W31" s="246"/>
      <c r="X31" s="246"/>
      <c r="Y31" s="247"/>
      <c r="Z31" s="247"/>
      <c r="AA31" s="247"/>
      <c r="AB31" s="247"/>
      <c r="AC31" s="24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x14ac:dyDescent="0.2">
      <c r="A32" s="360" t="s">
        <v>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189">
        <f ca="1">SUM(N8:N31)</f>
        <v>0</v>
      </c>
      <c r="O32" s="189">
        <f ca="1">SUM(O8:O31)</f>
        <v>0</v>
      </c>
      <c r="P32" s="189">
        <f t="shared" ref="P32:Q32" ca="1" si="1">SUM(P8:P31)</f>
        <v>0</v>
      </c>
      <c r="Q32" s="189">
        <f t="shared" ca="1" si="1"/>
        <v>0</v>
      </c>
      <c r="R32" s="189">
        <f ca="1">SUM(R8:R31)</f>
        <v>0</v>
      </c>
      <c r="S32" s="189">
        <f ca="1">SUM(S8:S31)</f>
        <v>0</v>
      </c>
      <c r="T32" s="249"/>
      <c r="U32" s="249"/>
      <c r="V32" s="249"/>
      <c r="W32" s="249"/>
      <c r="X32" s="249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9" customHeight="1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x14ac:dyDescent="0.2">
      <c r="D34" s="101" t="s">
        <v>177</v>
      </c>
      <c r="E34" s="266" t="str">
        <f>'W9'!C9&amp;"/"&amp;'W9'!C10</f>
        <v>9/3</v>
      </c>
      <c r="F34" s="383" t="str">
        <f>'W9'!D9&amp;"/"&amp;'W9'!D10</f>
        <v>9/3</v>
      </c>
      <c r="G34" s="383"/>
      <c r="H34" s="383" t="str">
        <f>'W9'!E9&amp;"/"&amp;'W9'!E10</f>
        <v>9/3</v>
      </c>
      <c r="I34" s="383"/>
      <c r="J34" s="383" t="str">
        <f>'W9'!F9&amp;"/"&amp;'W9'!F10</f>
        <v>9/3</v>
      </c>
      <c r="K34" s="383"/>
      <c r="L34" s="383" t="str">
        <f>'W9'!G9&amp;"/"&amp;'W9'!G10</f>
        <v>9/3</v>
      </c>
      <c r="M34" s="383"/>
      <c r="Q34" s="356" t="s">
        <v>152</v>
      </c>
      <c r="R34" s="357"/>
      <c r="S34" s="230" t="s">
        <v>150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x14ac:dyDescent="0.2">
      <c r="A35" s="386" t="s">
        <v>17</v>
      </c>
      <c r="B35" s="387"/>
      <c r="C35" s="388"/>
      <c r="D35" s="264" t="s">
        <v>6</v>
      </c>
      <c r="E35" s="264" t="s">
        <v>18</v>
      </c>
      <c r="F35" s="389" t="s">
        <v>18</v>
      </c>
      <c r="G35" s="390"/>
      <c r="H35" s="389" t="s">
        <v>18</v>
      </c>
      <c r="I35" s="390"/>
      <c r="J35" s="389" t="s">
        <v>18</v>
      </c>
      <c r="K35" s="390"/>
      <c r="L35" s="389" t="s">
        <v>18</v>
      </c>
      <c r="M35" s="390"/>
      <c r="N35" s="50" t="str">
        <f>N5</f>
        <v>Period 1</v>
      </c>
      <c r="O35" s="50" t="str">
        <f>O5</f>
        <v>Period 2</v>
      </c>
      <c r="P35" s="50" t="str">
        <f>P5</f>
        <v>Period 3</v>
      </c>
      <c r="Q35" s="50" t="str">
        <f>Q5</f>
        <v>Period 4</v>
      </c>
      <c r="R35" s="50" t="str">
        <f>R5</f>
        <v>Period 5</v>
      </c>
      <c r="S35" s="50" t="s">
        <v>13</v>
      </c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x14ac:dyDescent="0.2">
      <c r="A36" s="92">
        <v>1</v>
      </c>
      <c r="B36" s="381">
        <f t="shared" ref="B36:B59" si="2">B8</f>
        <v>0</v>
      </c>
      <c r="C36" s="382"/>
      <c r="D36" s="199" t="s">
        <v>52</v>
      </c>
      <c r="E36" s="265" t="str">
        <f>IF($D36='W9'!$A$59,'W9'!B$59,IF($D36='W9'!$A$60,'W9'!B$60,IF($D36='W9'!$A$61,'W9'!B$61,IF($D36='W9'!$A$62,'W9'!B$62,IF($D36='W9'!$A$63,'W9'!B$63,IF($D36='W9'!$A$64,'W9'!B$64,IF($D36='W9'!$A$65,'W9'!B$65,IF($D36='W9'!$A$66,'W9'!B$66,IF($D36='W9'!$A$67,'W9'!B$67,IF($D36='W9'!$A$68,'W9'!B275,IF($D36='W9'!$A$69,'W9'!B275,IF($D36='W9'!$A$70,'W9'!B275,IF($D36='W9'!$A$71,"")))))))))))))</f>
        <v/>
      </c>
      <c r="F36" s="378" t="str">
        <f>IF($D36='W9'!$A$59,'W9'!C$59,IF($D36='W9'!$A$60,'W9'!C$60,IF($D36='W9'!$A$61,'W9'!C$61,IF($D36='W9'!$A$62,'W9'!C$62,IF($D36='W9'!$A$63,'W9'!C$63,IF($D36='W9'!$A$64,'W9'!C$64,IF($D36='W9'!$A$65,'W9'!C$65,IF($D36='W9'!$A$66,'W9'!C$66,IF($D36='W9'!$A$67,'W9'!C$67,IF($D36='W9'!$A$68,'W9'!D275,IF($D36='W9'!$A$69,'W9'!D275,IF($D36='W9'!$A$70,'W9'!D275,IF($D36='W9'!$A$71,"")))))))))))))</f>
        <v/>
      </c>
      <c r="G36" s="379"/>
      <c r="H36" s="366" t="str">
        <f>IF($D36='W9'!$A$59,'W9'!D$59,IF($D36='W9'!$A$60,'W9'!D$60,IF($D36='W9'!$A$61,'W9'!D$61,IF($D36='W9'!$A$62,'W9'!D$62,IF($D36='W9'!$A$63,'W9'!D$63,IF($D36='W9'!$A$64,'W9'!D$64,IF($D36='W9'!$A$65,'W9'!D$65,IF($D36='W9'!$A$66,'W9'!D$66,IF($D36='W9'!$A$67,'W9'!D$67,IF($D36='W9'!$A$68,'W9'!F275,IF($D36='W9'!$A$69,'W9'!F275,IF($D36='W9'!$A$70,'W9'!F275,IF($D36='W9'!$A$71,"")))))))))))))</f>
        <v/>
      </c>
      <c r="I36" s="367"/>
      <c r="J36" s="366" t="str">
        <f>IF($D36='W9'!$A$59,'W9'!E$59,IF($D36='W9'!$A$60,'W9'!E$60,IF($D36='W9'!$A$61,'W9'!E$61,IF($D36='W9'!$A$62,'W9'!E$62,IF($D36='W9'!$A$63,'W9'!E$63,IF($D36='W9'!$A$64,'W9'!E$64,IF($D36='W9'!$A$65,'W9'!E$65,IF($D36='W9'!$A$66,'W9'!E$66,IF($D36='W9'!$A$67,'W9'!E$67,IF($D36='W9'!$A$68,'W9'!H275,IF($D36='W9'!$A$69,'W9'!H275,IF($D36='W9'!$A$70,'W9'!H275,IF($D36='W9'!$A$71,"")))))))))))))</f>
        <v/>
      </c>
      <c r="K36" s="367"/>
      <c r="L36" s="366" t="str">
        <f>IF($D36='W9'!$A$59,'W9'!F$59,IF($D36='W9'!$A$60,'W9'!F$60,IF($D36='W9'!$A$61,'W9'!F$61,IF($D36='W9'!$A$62,'W9'!F$62,IF($D36='W9'!$A$63,'W9'!F$63,IF($D36='W9'!$A$64,'W9'!F$64,IF($D36='W9'!$A$65,'W9'!F$65,IF($D36='W9'!$A$66,'W9'!F$66,IF($D36='W9'!$A$67,'W9'!F$67,IF($D36='W9'!$A$68,'W9'!J275,IF($D36='W9'!$A$69,'W9'!J275,IF($D36='W9'!$A$70,'W9'!J275,IF($D36='W9'!$A$71,"")))))))))))))</f>
        <v/>
      </c>
      <c r="M36" s="367"/>
      <c r="N36" s="200">
        <f ca="1">IF(N8=0,0,IF(AND($D36="F-SMRA",N8=0),0,IF(AND($D36="F-SMRB",N8=0),0,IF(AND($D36="F-SMRC",N8=0),0,IF($D36='W9'!$A$68,'W9'!B301,IF($D36='W9'!$A$69,'W9'!B301,IF($D36='W9'!$A$70,'W9'!B301,ROUND(('R9'!N8/'W9'!$C$5*'W9'!$C$9*(IF('R9'!$D36='W9'!$A$47,'W9'!B$47,IF('R9'!$D36='W9'!$A$48,'W9'!B$48,IF('R9'!$D36='W9'!$A$49,'W9'!B$49,IF('R9'!$D36='W9'!$A$50,'W9'!B$50,IF('R9'!$D36='W9'!$A$51,'W9'!B$51,IF('R9'!$D36='W9'!$A$52,'W9'!B$52,IF('R9'!$D36='W9'!$A$53,'W9'!B$53,IF('R9'!$D36='W9'!$A$54,'W9'!B$54,IF('R9'!$D36='W9'!$A$55,'W9'!B$55))))))))))),0)+ROUND(N8/'W9'!$C$5*'W9'!$C$10*(IF('R9'!$D36='W9'!$A$47,'W9'!C$47,IF('R9'!$D36='W9'!$A$48,'W9'!C$48,IF('R9'!$D36='W9'!$A$49,'W9'!C$49,IF('R9'!$D36='W9'!$A$50,'W9'!C$50,IF('R9'!$D36='W9'!$A$51,'W9'!C$51,IF('R9'!$D36='W9'!$A$52,'W9'!C$52,IF('R9'!$D36='W9'!$A$53,'W9'!C$53,IF('R9'!$D36='W9'!$A$54,'W9'!C$54,IF('R9'!$D36='W9'!$A$55,'W9'!C$55)))))))))),0))))))))</f>
        <v>0</v>
      </c>
      <c r="O36" s="187">
        <f ca="1">IF(O8=0,0,IF(AND($D36="F-SMRA",O8=0),0,IF(AND($D36="F-SMRB",O8=0),0,IF(AND($D36="F-SMRC",O8=0),0,IF($D36='W9'!$A$68,'W9'!D301,IF($D36='W9'!$A$69,'W9'!D301,IF($D36='W9'!$A$70,'W9'!D301,ROUND(('R9'!O8/'W9'!$D$5*'W9'!$D$9*(IF('R9'!$D36='W9'!$A$47,'W9'!D$47,IF('R9'!$D36='W9'!$A$48,'W9'!D$48,IF('R9'!$D36='W9'!$A$49,'W9'!D$49,IF('R9'!$D36='W9'!$A$50,'W9'!D$50,IF('R9'!$D36='W9'!$A$51,'W9'!D$51,IF('R9'!$D36='W9'!$A$52,'W9'!D$52,IF('R9'!$D36='W9'!$A$53,'W9'!D$53,IF('R9'!$D36='W9'!$A$54,'W9'!D$54,IF('R9'!$D36='W9'!$A$55,'W9'!D$55))))))))))),0)+ROUND(O8/'W9'!$D$5*'W9'!$D$10*(IF('R9'!$D36='W9'!$A$47,'W9'!E$47,IF('R9'!$D36='W9'!$A$48,'W9'!E$48,IF('R9'!$D36='W9'!$A$49,'W9'!E$49,IF('R9'!$D36='W9'!$A$50,'W9'!E$50,IF('R9'!$D36='W9'!$A$51,'W9'!E$51,IF('R9'!$D36='W9'!$A$52,'W9'!E$52,IF('R9'!$D36='W9'!$A$53,'W9'!E$53,IF('R9'!$D36='W9'!$A$54,'W9'!E$54,IF('R9'!$D36='W9'!$A$55,'W9'!E$55)))))))))),0))))))))</f>
        <v>0</v>
      </c>
      <c r="P36" s="187">
        <f ca="1">IF(P8=0,0,IF(AND($D36="F-SMRA",P8=0),0,IF(AND($D36="F-SMRB",P8=0),0,IF(AND($D36="F-SMRC",P8=0),0,IF($D36='W9'!$A$68,'W9'!F301,IF($D36='W9'!$A$69,'W9'!F301,IF($D36='W9'!$A$70,'W9'!F301,ROUND(('R9'!P8/'W9'!$E$5*'W9'!$E$9*(IF('R9'!$D36='W9'!$A$47,'W9'!F$47,IF('R9'!$D36='W9'!$A$48,'W9'!F$48,IF('R9'!$D36='W9'!$A$49,'W9'!F$49,IF('R9'!$D36='W9'!$A$50,'W9'!F$50,IF('R9'!$D36='W9'!$A$51,'W9'!F$51,IF('R9'!$D36='W9'!$A$52,'W9'!F$52,IF('R9'!$D36='W9'!$A$53,'W9'!F$53,IF('R9'!$D36='W9'!$A$54,'W9'!F$54,IF('R9'!$D36='W9'!$A$55,'W9'!F$55))))))))))),0)+ROUND(P8/'W9'!$E$5*'W9'!$E$10*(IF('R9'!$D36='W9'!$A$47,'W9'!G$47,IF('R9'!$D36='W9'!$A$48,'W9'!G$48,IF('R9'!$D36='W9'!$A$49,'W9'!G$49,IF('R9'!$D36='W9'!$A$50,'W9'!G$50,IF('R9'!$D36='W9'!$A$51,'W9'!G$51,IF('R9'!$D36='W9'!$A$52,'W9'!G$52,IF('R9'!$D36='W9'!$A$53,'W9'!G$53,IF('R9'!$D36='W9'!$A$54,'W9'!G$54,IF('R9'!$D36='W9'!$A$55,'W9'!G$55)))))))))),0))))))))</f>
        <v>0</v>
      </c>
      <c r="Q36" s="187">
        <f ca="1">IF(Q8=0,0,IF(AND($D36="F-SMRA",Q8=0),0,IF(AND($D36="F-SMRB",Q8=0),0,IF(AND($D36="F-SMRC",Q8=0),0,IF($D36='W9'!$A$68,'W9'!H301,IF($D36='W9'!$A$69,'W9'!H301,IF($D36='W9'!$A$70,'W9'!H301,ROUND(('R9'!Q8/'W9'!$F$5*'W9'!$F$9*(IF('R9'!$D36='W9'!$A$47,'W9'!H$47,IF('R9'!$D36='W9'!$A$48,'W9'!H$48,IF('R9'!$D36='W9'!$A$49,'W9'!H$49,IF('R9'!$D36='W9'!$A$50,'W9'!H$50,IF('R9'!$D36='W9'!$A$51,'W9'!H$51,IF('R9'!$D36='W9'!$A$52,'W9'!H$52,IF('R9'!$D36='W9'!$A$53,'W9'!H$53,IF('R9'!$D36='W9'!$A$54,'W9'!H$54,IF('R9'!$D36='W9'!$A$55,'W9'!H$55))))))))))),0)+ROUND(Q8/'W9'!$F$5*'W9'!$F$10*(IF('R9'!$D36='W9'!$A$47,'W9'!I$47,IF('R9'!$D36='W9'!$A$48,'W9'!I$48,IF('R9'!$D36='W9'!$A$49,'W9'!I$49,IF('R9'!$D36='W9'!$A$50,'W9'!I$50,IF('R9'!$D36='W9'!$A$51,'W9'!I$51,IF('R9'!$D36='W9'!$A$52,'W9'!I$52,IF('R9'!$D36='W9'!$A$53,'W9'!I$53,IF('R9'!$D36='W9'!$A$54,'W9'!I$54,IF('R9'!$D36='W9'!$A$55,'W9'!I$55)))))))))),0))))))))</f>
        <v>0</v>
      </c>
      <c r="R36" s="187">
        <f ca="1">IF(R8=0,0,IF(AND($D36="F-SMRA",R8=0),0,IF(AND($D36="F-SMRB",R8=0),0,IF(AND($D36="F-SMRC",R8=0),0,IF($D36='W9'!$A$68,'W9'!J301,IF($D36='W9'!$A$69,'W9'!J301,IF($D36='W9'!$A$70,'W9'!J301,ROUND(('R9'!R8/'W9'!$G$5*'W9'!$G$9*(IF('R9'!$D36='W9'!$A$47,'W9'!J$47,IF('R9'!$D36='W9'!$A$48,'W9'!J$48,IF('R9'!$D36='W9'!$A$49,'W9'!J$49,IF('R9'!$D36='W9'!$A$50,'W9'!J$50,IF('R9'!$D36='W9'!$A$51,'W9'!J$51,IF('R9'!$D36='W9'!$A$52,'W9'!J$52,IF('R9'!$D36='W9'!$A$53,'W9'!J$53,IF('R9'!$D36='W9'!$A$54,'W9'!J$54,IF('R9'!$D36='W9'!$A$55,'W9'!J$55))))))))))),0)+ROUND(R8/'W9'!$G$5*'W9'!$G$10*(IF('R9'!$D36='W9'!$A$47,'W9'!K$47,IF('R9'!$D36='W9'!$A$48,'W9'!K$48,IF('R9'!$D36='W9'!$A$49,'W9'!K$49,IF('R9'!$D36='W9'!$A$50,'W9'!K$50,IF('R9'!$D36='W9'!$A$51,'W9'!K$51,IF('R9'!$D36='W9'!$A$52,'W9'!K$52,IF('R9'!$D36='W9'!$A$53,'W9'!K$53,IF('R9'!$D36='W9'!$A$54,'W9'!K$54,IF('R9'!$D36='W9'!$A$55,'W9'!K$55)))))))))),0))))))))</f>
        <v>0</v>
      </c>
      <c r="S36" s="187">
        <f ca="1">SUM(N36:R36)</f>
        <v>0</v>
      </c>
      <c r="T36" s="248"/>
      <c r="U36" s="248"/>
      <c r="V36" s="248"/>
      <c r="W36" s="248"/>
      <c r="X36" s="248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x14ac:dyDescent="0.2">
      <c r="A37" s="92">
        <v>2</v>
      </c>
      <c r="B37" s="381">
        <f t="shared" si="2"/>
        <v>0</v>
      </c>
      <c r="C37" s="382"/>
      <c r="D37" s="199" t="s">
        <v>52</v>
      </c>
      <c r="E37" s="265" t="str">
        <f>IF($D37='W9'!$A$59,'W9'!B$59,IF($D37='W9'!$A$60,'W9'!B$60,IF($D37='W9'!$A$61,'W9'!B$61,IF($D37='W9'!$A$62,'W9'!B$62,IF($D37='W9'!$A$63,'W9'!B$63,IF($D37='W9'!$A$64,'W9'!B$64,IF($D37='W9'!$A$65,'W9'!B$65,IF($D37='W9'!$A$66,'W9'!B$66,IF($D37='W9'!$A$67,'W9'!B$67,IF($D37='W9'!$A$68,'W9'!B276,IF($D37='W9'!$A$69,'W9'!B276,IF($D37='W9'!$A$70,'W9'!B276,IF($D37='W9'!$A$71,"")))))))))))))</f>
        <v/>
      </c>
      <c r="F37" s="378" t="str">
        <f>IF($D37='W9'!$A$59,'W9'!C$59,IF($D37='W9'!$A$60,'W9'!C$60,IF($D37='W9'!$A$61,'W9'!C$61,IF($D37='W9'!$A$62,'W9'!C$62,IF($D37='W9'!$A$63,'W9'!C$63,IF($D37='W9'!$A$64,'W9'!C$64,IF($D37='W9'!$A$65,'W9'!C$65,IF($D37='W9'!$A$66,'W9'!C$66,IF($D37='W9'!$A$67,'W9'!C$67,IF($D37='W9'!$A$68,'W9'!D276,IF($D37='W9'!$A$69,'W9'!D276,IF($D37='W9'!$A$70,'W9'!D276,IF($D37='W9'!$A$71,"")))))))))))))</f>
        <v/>
      </c>
      <c r="G37" s="379"/>
      <c r="H37" s="366" t="str">
        <f>IF($D37='W9'!$A$59,'W9'!D$59,IF($D37='W9'!$A$60,'W9'!D$60,IF($D37='W9'!$A$61,'W9'!D$61,IF($D37='W9'!$A$62,'W9'!D$62,IF($D37='W9'!$A$63,'W9'!D$63,IF($D37='W9'!$A$64,'W9'!D$64,IF($D37='W9'!$A$65,'W9'!D$65,IF($D37='W9'!$A$66,'W9'!D$66,IF($D37='W9'!$A$67,'W9'!D$67,IF($D37='W9'!$A$68,'W9'!F276,IF($D37='W9'!$A$69,'W9'!F276,IF($D37='W9'!$A$70,'W9'!F276,IF($D37='W9'!$A$71,"")))))))))))))</f>
        <v/>
      </c>
      <c r="I37" s="367"/>
      <c r="J37" s="366" t="str">
        <f>IF($D37='W9'!$A$59,'W9'!E$59,IF($D37='W9'!$A$60,'W9'!E$60,IF($D37='W9'!$A$61,'W9'!E$61,IF($D37='W9'!$A$62,'W9'!E$62,IF($D37='W9'!$A$63,'W9'!E$63,IF($D37='W9'!$A$64,'W9'!E$64,IF($D37='W9'!$A$65,'W9'!E$65,IF($D37='W9'!$A$66,'W9'!E$66,IF($D37='W9'!$A$67,'W9'!E$67,IF($D37='W9'!$A$68,'W9'!H276,IF($D37='W9'!$A$69,'W9'!H276,IF($D37='W9'!$A$70,'W9'!H276,IF($D37='W9'!$A$71,"")))))))))))))</f>
        <v/>
      </c>
      <c r="K37" s="367"/>
      <c r="L37" s="366" t="str">
        <f>IF($D37='W9'!$A$59,'W9'!F$59,IF($D37='W9'!$A$60,'W9'!F$60,IF($D37='W9'!$A$61,'W9'!F$61,IF($D37='W9'!$A$62,'W9'!F$62,IF($D37='W9'!$A$63,'W9'!F$63,IF($D37='W9'!$A$64,'W9'!F$64,IF($D37='W9'!$A$65,'W9'!F$65,IF($D37='W9'!$A$66,'W9'!F$66,IF($D37='W9'!$A$67,'W9'!F$67,IF($D37='W9'!$A$68,'W9'!J276,IF($D37='W9'!$A$69,'W9'!J276,IF($D37='W9'!$A$70,'W9'!J276,IF($D37='W9'!$A$71,"")))))))))))))</f>
        <v/>
      </c>
      <c r="M37" s="367"/>
      <c r="N37" s="187">
        <f ca="1">IF(N9=0,0,IF(AND($D37="F-SMRA",N9=0),0,IF(AND($D37="F-SMRB",N9=0),0,IF(AND($D37="F-SMRC",N9=0),0,IF($D37='W9'!$A$68,'W9'!B302,IF($D37='W9'!$A$69,'W9'!B302,IF($D37='W9'!$A$70,'W9'!B302,ROUND(('R9'!N9/'W9'!$C$5*'W9'!$C$9*(IF('R9'!$D37='W9'!$A$47,'W9'!B$47,IF('R9'!$D37='W9'!$A$48,'W9'!B$48,IF('R9'!$D37='W9'!$A$49,'W9'!B$49,IF('R9'!$D37='W9'!$A$50,'W9'!B$50,IF('R9'!$D37='W9'!$A$51,'W9'!B$51,IF('R9'!$D37='W9'!$A$52,'W9'!B$52,IF('R9'!$D37='W9'!$A$53,'W9'!B$53,IF('R9'!$D37='W9'!$A$54,'W9'!B$54,IF('R9'!$D37='W9'!$A$55,'W9'!B$55))))))))))),0)+ROUND(N9/'W9'!$C$5*'W9'!$C$10*(IF('R9'!$D37='W9'!$A$47,'W9'!C$47,IF('R9'!$D37='W9'!$A$48,'W9'!C$48,IF('R9'!$D37='W9'!$A$49,'W9'!C$49,IF('R9'!$D37='W9'!$A$50,'W9'!C$50,IF('R9'!$D37='W9'!$A$51,'W9'!C$51,IF('R9'!$D37='W9'!$A$52,'W9'!C$52,IF('R9'!$D37='W9'!$A$53,'W9'!C$53,IF('R9'!$D37='W9'!$A$54,'W9'!C$54,IF('R9'!$D37='W9'!$A$55,'W9'!C$55)))))))))),0))))))))</f>
        <v>0</v>
      </c>
      <c r="O37" s="187">
        <f ca="1">IF(O9=0,0,IF(AND($D37="F-SMRA",O9=0),0,IF(AND($D37="F-SMRB",O9=0),0,IF(AND($D37="F-SMRC",O9=0),0,IF($D37='W9'!$A$68,'W9'!D302,IF($D37='W9'!$A$69,'W9'!D302,IF($D37='W9'!$A$70,'W9'!D302,ROUND(('R9'!O9/'W9'!$D$5*'W9'!$D$9*(IF('R9'!$D37='W9'!$A$47,'W9'!D$47,IF('R9'!$D37='W9'!$A$48,'W9'!D$48,IF('R9'!$D37='W9'!$A$49,'W9'!D$49,IF('R9'!$D37='W9'!$A$50,'W9'!D$50,IF('R9'!$D37='W9'!$A$51,'W9'!D$51,IF('R9'!$D37='W9'!$A$52,'W9'!D$52,IF('R9'!$D37='W9'!$A$53,'W9'!D$53,IF('R9'!$D37='W9'!$A$54,'W9'!D$54,IF('R9'!$D37='W9'!$A$55,'W9'!D$55))))))))))),0)+ROUND(O9/'W9'!$D$5*'W9'!$D$10*(IF('R9'!$D37='W9'!$A$47,'W9'!E$47,IF('R9'!$D37='W9'!$A$48,'W9'!E$48,IF('R9'!$D37='W9'!$A$49,'W9'!E$49,IF('R9'!$D37='W9'!$A$50,'W9'!E$50,IF('R9'!$D37='W9'!$A$51,'W9'!E$51,IF('R9'!$D37='W9'!$A$52,'W9'!E$52,IF('R9'!$D37='W9'!$A$53,'W9'!E$53,IF('R9'!$D37='W9'!$A$54,'W9'!E$54,IF('R9'!$D37='W9'!$A$55,'W9'!E$55)))))))))),0))))))))</f>
        <v>0</v>
      </c>
      <c r="P37" s="187">
        <f ca="1">IF(P9=0,0,IF(AND($D37="F-SMRA",P9=0),0,IF(AND($D37="F-SMRB",P9=0),0,IF(AND($D37="F-SMRC",P9=0),0,IF($D37='W9'!$A$68,'W9'!F302,IF($D37='W9'!$A$69,'W9'!F302,IF($D37='W9'!$A$70,'W9'!F302,ROUND(('R9'!P9/'W9'!$E$5*'W9'!$E$9*(IF('R9'!$D37='W9'!$A$47,'W9'!F$47,IF('R9'!$D37='W9'!$A$48,'W9'!F$48,IF('R9'!$D37='W9'!$A$49,'W9'!F$49,IF('R9'!$D37='W9'!$A$50,'W9'!F$50,IF('R9'!$D37='W9'!$A$51,'W9'!F$51,IF('R9'!$D37='W9'!$A$52,'W9'!F$52,IF('R9'!$D37='W9'!$A$53,'W9'!F$53,IF('R9'!$D37='W9'!$A$54,'W9'!F$54,IF('R9'!$D37='W9'!$A$55,'W9'!F$55))))))))))),0)+ROUND(P9/'W9'!$E$5*'W9'!$E$10*(IF('R9'!$D37='W9'!$A$47,'W9'!G$47,IF('R9'!$D37='W9'!$A$48,'W9'!G$48,IF('R9'!$D37='W9'!$A$49,'W9'!G$49,IF('R9'!$D37='W9'!$A$50,'W9'!G$50,IF('R9'!$D37='W9'!$A$51,'W9'!G$51,IF('R9'!$D37='W9'!$A$52,'W9'!G$52,IF('R9'!$D37='W9'!$A$53,'W9'!G$53,IF('R9'!$D37='W9'!$A$54,'W9'!G$54,IF('R9'!$D37='W9'!$A$55,'W9'!G$55)))))))))),0))))))))</f>
        <v>0</v>
      </c>
      <c r="Q37" s="187">
        <f ca="1">IF(Q9=0,0,IF(AND($D37="F-SMRA",Q9=0),0,IF(AND($D37="F-SMRB",Q9=0),0,IF(AND($D37="F-SMRC",Q9=0),0,IF($D37='W9'!$A$68,'W9'!H302,IF($D37='W9'!$A$69,'W9'!H302,IF($D37='W9'!$A$70,'W9'!H302,ROUND(('R9'!Q9/'W9'!$F$5*'W9'!$F$9*(IF('R9'!$D37='W9'!$A$47,'W9'!H$47,IF('R9'!$D37='W9'!$A$48,'W9'!H$48,IF('R9'!$D37='W9'!$A$49,'W9'!H$49,IF('R9'!$D37='W9'!$A$50,'W9'!H$50,IF('R9'!$D37='W9'!$A$51,'W9'!H$51,IF('R9'!$D37='W9'!$A$52,'W9'!H$52,IF('R9'!$D37='W9'!$A$53,'W9'!H$53,IF('R9'!$D37='W9'!$A$54,'W9'!H$54,IF('R9'!$D37='W9'!$A$55,'W9'!H$55))))))))))),0)+ROUND(Q9/'W9'!$F$5*'W9'!$F$10*(IF('R9'!$D37='W9'!$A$47,'W9'!I$47,IF('R9'!$D37='W9'!$A$48,'W9'!I$48,IF('R9'!$D37='W9'!$A$49,'W9'!I$49,IF('R9'!$D37='W9'!$A$50,'W9'!I$50,IF('R9'!$D37='W9'!$A$51,'W9'!I$51,IF('R9'!$D37='W9'!$A$52,'W9'!I$52,IF('R9'!$D37='W9'!$A$53,'W9'!I$53,IF('R9'!$D37='W9'!$A$54,'W9'!I$54,IF('R9'!$D37='W9'!$A$55,'W9'!I$55)))))))))),0))))))))</f>
        <v>0</v>
      </c>
      <c r="R37" s="187">
        <f ca="1">IF(R9=0,0,IF(AND($D37="F-SMRA",R9=0),0,IF(AND($D37="F-SMRB",R9=0),0,IF(AND($D37="F-SMRC",R9=0),0,IF($D37='W9'!$A$68,'W9'!J302,IF($D37='W9'!$A$69,'W9'!J302,IF($D37='W9'!$A$70,'W9'!J302,ROUND(('R9'!R9/'W9'!$G$5*'W9'!$G$9*(IF('R9'!$D37='W9'!$A$47,'W9'!J$47,IF('R9'!$D37='W9'!$A$48,'W9'!J$48,IF('R9'!$D37='W9'!$A$49,'W9'!J$49,IF('R9'!$D37='W9'!$A$50,'W9'!J$50,IF('R9'!$D37='W9'!$A$51,'W9'!J$51,IF('R9'!$D37='W9'!$A$52,'W9'!J$52,IF('R9'!$D37='W9'!$A$53,'W9'!J$53,IF('R9'!$D37='W9'!$A$54,'W9'!J$54,IF('R9'!$D37='W9'!$A$55,'W9'!J$55))))))))))),0)+ROUND(R9/'W9'!$G$5*'W9'!$G$10*(IF('R9'!$D37='W9'!$A$47,'W9'!K$47,IF('R9'!$D37='W9'!$A$48,'W9'!K$48,IF('R9'!$D37='W9'!$A$49,'W9'!K$49,IF('R9'!$D37='W9'!$A$50,'W9'!K$50,IF('R9'!$D37='W9'!$A$51,'W9'!K$51,IF('R9'!$D37='W9'!$A$52,'W9'!K$52,IF('R9'!$D37='W9'!$A$53,'W9'!K$53,IF('R9'!$D37='W9'!$A$54,'W9'!K$54,IF('R9'!$D37='W9'!$A$55,'W9'!K$55)))))))))),0))))))))</f>
        <v>0</v>
      </c>
      <c r="S37" s="187">
        <f t="shared" ref="S37:S59" ca="1" si="3">SUM(N37:R37)</f>
        <v>0</v>
      </c>
      <c r="T37" s="248"/>
      <c r="U37" s="248"/>
      <c r="V37" s="248"/>
      <c r="W37" s="248"/>
      <c r="X37" s="248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x14ac:dyDescent="0.2">
      <c r="A38" s="92">
        <v>3</v>
      </c>
      <c r="B38" s="381">
        <f t="shared" si="2"/>
        <v>0</v>
      </c>
      <c r="C38" s="382"/>
      <c r="D38" s="199" t="s">
        <v>52</v>
      </c>
      <c r="E38" s="265" t="str">
        <f>IF($D38='W9'!$A$59,'W9'!B$59,IF($D38='W9'!$A$60,'W9'!B$60,IF($D38='W9'!$A$61,'W9'!B$61,IF($D38='W9'!$A$62,'W9'!B$62,IF($D38='W9'!$A$63,'W9'!B$63,IF($D38='W9'!$A$64,'W9'!B$64,IF($D38='W9'!$A$65,'W9'!B$65,IF($D38='W9'!$A$66,'W9'!B$66,IF($D38='W9'!$A$67,'W9'!B$67,IF($D38='W9'!$A$68,'W9'!B277,IF($D38='W9'!$A$69,'W9'!B277,IF($D38='W9'!$A$70,'W9'!B277,IF($D38='W9'!$A$71,"")))))))))))))</f>
        <v/>
      </c>
      <c r="F38" s="378" t="str">
        <f>IF($D38='W9'!$A$59,'W9'!C$59,IF($D38='W9'!$A$60,'W9'!C$60,IF($D38='W9'!$A$61,'W9'!C$61,IF($D38='W9'!$A$62,'W9'!C$62,IF($D38='W9'!$A$63,'W9'!C$63,IF($D38='W9'!$A$64,'W9'!C$64,IF($D38='W9'!$A$65,'W9'!C$65,IF($D38='W9'!$A$66,'W9'!C$66,IF($D38='W9'!$A$67,'W9'!C$67,IF($D38='W9'!$A$68,'W9'!D277,IF($D38='W9'!$A$69,'W9'!D277,IF($D38='W9'!$A$70,'W9'!D277,IF($D38='W9'!$A$71,"")))))))))))))</f>
        <v/>
      </c>
      <c r="G38" s="379"/>
      <c r="H38" s="366" t="str">
        <f>IF($D38='W9'!$A$59,'W9'!D$59,IF($D38='W9'!$A$60,'W9'!D$60,IF($D38='W9'!$A$61,'W9'!D$61,IF($D38='W9'!$A$62,'W9'!D$62,IF($D38='W9'!$A$63,'W9'!D$63,IF($D38='W9'!$A$64,'W9'!D$64,IF($D38='W9'!$A$65,'W9'!D$65,IF($D38='W9'!$A$66,'W9'!D$66,IF($D38='W9'!$A$67,'W9'!D$67,IF($D38='W9'!$A$68,'W9'!F277,IF($D38='W9'!$A$69,'W9'!F277,IF($D38='W9'!$A$70,'W9'!F277,IF($D38='W9'!$A$71,"")))))))))))))</f>
        <v/>
      </c>
      <c r="I38" s="367"/>
      <c r="J38" s="366" t="str">
        <f>IF($D38='W9'!$A$59,'W9'!E$59,IF($D38='W9'!$A$60,'W9'!E$60,IF($D38='W9'!$A$61,'W9'!E$61,IF($D38='W9'!$A$62,'W9'!E$62,IF($D38='W9'!$A$63,'W9'!E$63,IF($D38='W9'!$A$64,'W9'!E$64,IF($D38='W9'!$A$65,'W9'!E$65,IF($D38='W9'!$A$66,'W9'!E$66,IF($D38='W9'!$A$67,'W9'!E$67,IF($D38='W9'!$A$68,'W9'!H277,IF($D38='W9'!$A$69,'W9'!H277,IF($D38='W9'!$A$70,'W9'!H277,IF($D38='W9'!$A$71,"")))))))))))))</f>
        <v/>
      </c>
      <c r="K38" s="367"/>
      <c r="L38" s="366" t="str">
        <f>IF($D38='W9'!$A$59,'W9'!F$59,IF($D38='W9'!$A$60,'W9'!F$60,IF($D38='W9'!$A$61,'W9'!F$61,IF($D38='W9'!$A$62,'W9'!F$62,IF($D38='W9'!$A$63,'W9'!F$63,IF($D38='W9'!$A$64,'W9'!F$64,IF($D38='W9'!$A$65,'W9'!F$65,IF($D38='W9'!$A$66,'W9'!F$66,IF($D38='W9'!$A$67,'W9'!F$67,IF($D38='W9'!$A$68,'W9'!J277,IF($D38='W9'!$A$69,'W9'!J277,IF($D38='W9'!$A$70,'W9'!J277,IF($D38='W9'!$A$71,"")))))))))))))</f>
        <v/>
      </c>
      <c r="M38" s="367"/>
      <c r="N38" s="187">
        <f ca="1">IF(N10=0,0,IF(AND($D38="F-SMRA",N10=0),0,IF(AND($D38="F-SMRB",N10=0),0,IF(AND($D38="F-SMRC",N10=0),0,IF($D38='W9'!$A$68,'W9'!B303,IF($D38='W9'!$A$69,'W9'!B303,IF($D38='W9'!$A$70,'W9'!B303,ROUND(('R9'!N10/'W9'!$C$5*'W9'!$C$9*(IF('R9'!$D38='W9'!$A$47,'W9'!B$47,IF('R9'!$D38='W9'!$A$48,'W9'!B$48,IF('R9'!$D38='W9'!$A$49,'W9'!B$49,IF('R9'!$D38='W9'!$A$50,'W9'!B$50,IF('R9'!$D38='W9'!$A$51,'W9'!B$51,IF('R9'!$D38='W9'!$A$52,'W9'!B$52,IF('R9'!$D38='W9'!$A$53,'W9'!B$53,IF('R9'!$D38='W9'!$A$54,'W9'!B$54,IF('R9'!$D38='W9'!$A$55,'W9'!B$55))))))))))),0)+ROUND(N10/'W9'!$C$5*'W9'!$C$10*(IF('R9'!$D38='W9'!$A$47,'W9'!C$47,IF('R9'!$D38='W9'!$A$48,'W9'!C$48,IF('R9'!$D38='W9'!$A$49,'W9'!C$49,IF('R9'!$D38='W9'!$A$50,'W9'!C$50,IF('R9'!$D38='W9'!$A$51,'W9'!C$51,IF('R9'!$D38='W9'!$A$52,'W9'!C$52,IF('R9'!$D38='W9'!$A$53,'W9'!C$53,IF('R9'!$D38='W9'!$A$54,'W9'!C$54,IF('R9'!$D38='W9'!$A$55,'W9'!C$55)))))))))),0))))))))</f>
        <v>0</v>
      </c>
      <c r="O38" s="187">
        <f ca="1">IF(O10=0,0,IF(AND($D38="F-SMRA",O10=0),0,IF(AND($D38="F-SMRB",O10=0),0,IF(AND($D38="F-SMRC",O10=0),0,IF($D38='W9'!$A$68,'W9'!D303,IF($D38='W9'!$A$69,'W9'!D303,IF($D38='W9'!$A$70,'W9'!D303,ROUND(('R9'!O10/'W9'!$D$5*'W9'!$D$9*(IF('R9'!$D38='W9'!$A$47,'W9'!D$47,IF('R9'!$D38='W9'!$A$48,'W9'!D$48,IF('R9'!$D38='W9'!$A$49,'W9'!D$49,IF('R9'!$D38='W9'!$A$50,'W9'!D$50,IF('R9'!$D38='W9'!$A$51,'W9'!D$51,IF('R9'!$D38='W9'!$A$52,'W9'!D$52,IF('R9'!$D38='W9'!$A$53,'W9'!D$53,IF('R9'!$D38='W9'!$A$54,'W9'!D$54,IF('R9'!$D38='W9'!$A$55,'W9'!D$55))))))))))),0)+ROUND(O10/'W9'!$D$5*'W9'!$D$10*(IF('R9'!$D38='W9'!$A$47,'W9'!E$47,IF('R9'!$D38='W9'!$A$48,'W9'!E$48,IF('R9'!$D38='W9'!$A$49,'W9'!E$49,IF('R9'!$D38='W9'!$A$50,'W9'!E$50,IF('R9'!$D38='W9'!$A$51,'W9'!E$51,IF('R9'!$D38='W9'!$A$52,'W9'!E$52,IF('R9'!$D38='W9'!$A$53,'W9'!E$53,IF('R9'!$D38='W9'!$A$54,'W9'!E$54,IF('R9'!$D38='W9'!$A$55,'W9'!E$55)))))))))),0))))))))</f>
        <v>0</v>
      </c>
      <c r="P38" s="187">
        <f ca="1">IF(P10=0,0,IF(AND($D38="F-SMRA",P10=0),0,IF(AND($D38="F-SMRB",P10=0),0,IF(AND($D38="F-SMRC",P10=0),0,IF($D38='W9'!$A$68,'W9'!F303,IF($D38='W9'!$A$69,'W9'!F303,IF($D38='W9'!$A$70,'W9'!F303,ROUND(('R9'!P10/'W9'!$E$5*'W9'!$E$9*(IF('R9'!$D38='W9'!$A$47,'W9'!F$47,IF('R9'!$D38='W9'!$A$48,'W9'!F$48,IF('R9'!$D38='W9'!$A$49,'W9'!F$49,IF('R9'!$D38='W9'!$A$50,'W9'!F$50,IF('R9'!$D38='W9'!$A$51,'W9'!F$51,IF('R9'!$D38='W9'!$A$52,'W9'!F$52,IF('R9'!$D38='W9'!$A$53,'W9'!F$53,IF('R9'!$D38='W9'!$A$54,'W9'!F$54,IF('R9'!$D38='W9'!$A$55,'W9'!F$55))))))))))),0)+ROUND(P10/'W9'!$E$5*'W9'!$E$10*(IF('R9'!$D38='W9'!$A$47,'W9'!G$47,IF('R9'!$D38='W9'!$A$48,'W9'!G$48,IF('R9'!$D38='W9'!$A$49,'W9'!G$49,IF('R9'!$D38='W9'!$A$50,'W9'!G$50,IF('R9'!$D38='W9'!$A$51,'W9'!G$51,IF('R9'!$D38='W9'!$A$52,'W9'!G$52,IF('R9'!$D38='W9'!$A$53,'W9'!G$53,IF('R9'!$D38='W9'!$A$54,'W9'!G$54,IF('R9'!$D38='W9'!$A$55,'W9'!G$55)))))))))),0))))))))</f>
        <v>0</v>
      </c>
      <c r="Q38" s="187">
        <f ca="1">IF(Q10=0,0,IF(AND($D38="F-SMRA",Q10=0),0,IF(AND($D38="F-SMRB",Q10=0),0,IF(AND($D38="F-SMRC",Q10=0),0,IF($D38='W9'!$A$68,'W9'!H303,IF($D38='W9'!$A$69,'W9'!H303,IF($D38='W9'!$A$70,'W9'!H303,ROUND(('R9'!Q10/'W9'!$F$5*'W9'!$F$9*(IF('R9'!$D38='W9'!$A$47,'W9'!H$47,IF('R9'!$D38='W9'!$A$48,'W9'!H$48,IF('R9'!$D38='W9'!$A$49,'W9'!H$49,IF('R9'!$D38='W9'!$A$50,'W9'!H$50,IF('R9'!$D38='W9'!$A$51,'W9'!H$51,IF('R9'!$D38='W9'!$A$52,'W9'!H$52,IF('R9'!$D38='W9'!$A$53,'W9'!H$53,IF('R9'!$D38='W9'!$A$54,'W9'!H$54,IF('R9'!$D38='W9'!$A$55,'W9'!H$55))))))))))),0)+ROUND(Q10/'W9'!$F$5*'W9'!$F$10*(IF('R9'!$D38='W9'!$A$47,'W9'!I$47,IF('R9'!$D38='W9'!$A$48,'W9'!I$48,IF('R9'!$D38='W9'!$A$49,'W9'!I$49,IF('R9'!$D38='W9'!$A$50,'W9'!I$50,IF('R9'!$D38='W9'!$A$51,'W9'!I$51,IF('R9'!$D38='W9'!$A$52,'W9'!I$52,IF('R9'!$D38='W9'!$A$53,'W9'!I$53,IF('R9'!$D38='W9'!$A$54,'W9'!I$54,IF('R9'!$D38='W9'!$A$55,'W9'!I$55)))))))))),0))))))))</f>
        <v>0</v>
      </c>
      <c r="R38" s="187">
        <f ca="1">IF(R10=0,0,IF(AND($D38="F-SMRA",R10=0),0,IF(AND($D38="F-SMRB",R10=0),0,IF(AND($D38="F-SMRC",R10=0),0,IF($D38='W9'!$A$68,'W9'!J303,IF($D38='W9'!$A$69,'W9'!J303,IF($D38='W9'!$A$70,'W9'!J303,ROUND(('R9'!R10/'W9'!$G$5*'W9'!$G$9*(IF('R9'!$D38='W9'!$A$47,'W9'!J$47,IF('R9'!$D38='W9'!$A$48,'W9'!J$48,IF('R9'!$D38='W9'!$A$49,'W9'!J$49,IF('R9'!$D38='W9'!$A$50,'W9'!J$50,IF('R9'!$D38='W9'!$A$51,'W9'!J$51,IF('R9'!$D38='W9'!$A$52,'W9'!J$52,IF('R9'!$D38='W9'!$A$53,'W9'!J$53,IF('R9'!$D38='W9'!$A$54,'W9'!J$54,IF('R9'!$D38='W9'!$A$55,'W9'!J$55))))))))))),0)+ROUND(R10/'W9'!$G$5*'W9'!$G$10*(IF('R9'!$D38='W9'!$A$47,'W9'!K$47,IF('R9'!$D38='W9'!$A$48,'W9'!K$48,IF('R9'!$D38='W9'!$A$49,'W9'!K$49,IF('R9'!$D38='W9'!$A$50,'W9'!K$50,IF('R9'!$D38='W9'!$A$51,'W9'!K$51,IF('R9'!$D38='W9'!$A$52,'W9'!K$52,IF('R9'!$D38='W9'!$A$53,'W9'!K$53,IF('R9'!$D38='W9'!$A$54,'W9'!K$54,IF('R9'!$D38='W9'!$A$55,'W9'!K$55)))))))))),0))))))))</f>
        <v>0</v>
      </c>
      <c r="S38" s="187">
        <f t="shared" ca="1" si="3"/>
        <v>0</v>
      </c>
      <c r="T38" s="248"/>
      <c r="U38" s="248"/>
      <c r="V38" s="248"/>
      <c r="W38" s="248"/>
      <c r="X38" s="248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x14ac:dyDescent="0.2">
      <c r="A39" s="92">
        <v>4</v>
      </c>
      <c r="B39" s="381">
        <f t="shared" si="2"/>
        <v>0</v>
      </c>
      <c r="C39" s="382"/>
      <c r="D39" s="199" t="s">
        <v>52</v>
      </c>
      <c r="E39" s="265" t="str">
        <f>IF($D39='W9'!$A$59,'W9'!B$59,IF($D39='W9'!$A$60,'W9'!B$60,IF($D39='W9'!$A$61,'W9'!B$61,IF($D39='W9'!$A$62,'W9'!B$62,IF($D39='W9'!$A$63,'W9'!B$63,IF($D39='W9'!$A$64,'W9'!B$64,IF($D39='W9'!$A$65,'W9'!B$65,IF($D39='W9'!$A$66,'W9'!B$66,IF($D39='W9'!$A$67,'W9'!B$67,IF($D39='W9'!$A$68,'W9'!B278,IF($D39='W9'!$A$69,'W9'!B278,IF($D39='W9'!$A$70,'W9'!B278,IF($D39='W9'!$A$71,"")))))))))))))</f>
        <v/>
      </c>
      <c r="F39" s="378" t="str">
        <f>IF($D39='W9'!$A$59,'W9'!C$59,IF($D39='W9'!$A$60,'W9'!C$60,IF($D39='W9'!$A$61,'W9'!C$61,IF($D39='W9'!$A$62,'W9'!C$62,IF($D39='W9'!$A$63,'W9'!C$63,IF($D39='W9'!$A$64,'W9'!C$64,IF($D39='W9'!$A$65,'W9'!C$65,IF($D39='W9'!$A$66,'W9'!C$66,IF($D39='W9'!$A$67,'W9'!C$67,IF($D39='W9'!$A$68,'W9'!D278,IF($D39='W9'!$A$69,'W9'!D278,IF($D39='W9'!$A$70,'W9'!D278,IF($D39='W9'!$A$71,"")))))))))))))</f>
        <v/>
      </c>
      <c r="G39" s="379"/>
      <c r="H39" s="366" t="str">
        <f>IF($D39='W9'!$A$59,'W9'!D$59,IF($D39='W9'!$A$60,'W9'!D$60,IF($D39='W9'!$A$61,'W9'!D$61,IF($D39='W9'!$A$62,'W9'!D$62,IF($D39='W9'!$A$63,'W9'!D$63,IF($D39='W9'!$A$64,'W9'!D$64,IF($D39='W9'!$A$65,'W9'!D$65,IF($D39='W9'!$A$66,'W9'!D$66,IF($D39='W9'!$A$67,'W9'!D$67,IF($D39='W9'!$A$68,'W9'!F278,IF($D39='W9'!$A$69,'W9'!F278,IF($D39='W9'!$A$70,'W9'!F278,IF($D39='W9'!$A$71,"")))))))))))))</f>
        <v/>
      </c>
      <c r="I39" s="367"/>
      <c r="J39" s="366" t="str">
        <f>IF($D39='W9'!$A$59,'W9'!E$59,IF($D39='W9'!$A$60,'W9'!E$60,IF($D39='W9'!$A$61,'W9'!E$61,IF($D39='W9'!$A$62,'W9'!E$62,IF($D39='W9'!$A$63,'W9'!E$63,IF($D39='W9'!$A$64,'W9'!E$64,IF($D39='W9'!$A$65,'W9'!E$65,IF($D39='W9'!$A$66,'W9'!E$66,IF($D39='W9'!$A$67,'W9'!E$67,IF($D39='W9'!$A$68,'W9'!H278,IF($D39='W9'!$A$69,'W9'!H278,IF($D39='W9'!$A$70,'W9'!H278,IF($D39='W9'!$A$71,"")))))))))))))</f>
        <v/>
      </c>
      <c r="K39" s="367"/>
      <c r="L39" s="366" t="str">
        <f>IF($D39='W9'!$A$59,'W9'!F$59,IF($D39='W9'!$A$60,'W9'!F$60,IF($D39='W9'!$A$61,'W9'!F$61,IF($D39='W9'!$A$62,'W9'!F$62,IF($D39='W9'!$A$63,'W9'!F$63,IF($D39='W9'!$A$64,'W9'!F$64,IF($D39='W9'!$A$65,'W9'!F$65,IF($D39='W9'!$A$66,'W9'!F$66,IF($D39='W9'!$A$67,'W9'!F$67,IF($D39='W9'!$A$68,'W9'!J278,IF($D39='W9'!$A$69,'W9'!J278,IF($D39='W9'!$A$70,'W9'!J278,IF($D39='W9'!$A$71,"")))))))))))))</f>
        <v/>
      </c>
      <c r="M39" s="367"/>
      <c r="N39" s="187">
        <f ca="1">IF(N11=0,0,IF(AND($D39="F-SMRA",N11=0),0,IF(AND($D39="F-SMRB",N11=0),0,IF(AND($D39="F-SMRC",N11=0),0,IF($D39='W9'!$A$68,'W9'!B304,IF($D39='W9'!$A$69,'W9'!B304,IF($D39='W9'!$A$70,'W9'!B304,ROUND(('R9'!N11/'W9'!$C$5*'W9'!$C$9*(IF('R9'!$D39='W9'!$A$47,'W9'!B$47,IF('R9'!$D39='W9'!$A$48,'W9'!B$48,IF('R9'!$D39='W9'!$A$49,'W9'!B$49,IF('R9'!$D39='W9'!$A$50,'W9'!B$50,IF('R9'!$D39='W9'!$A$51,'W9'!B$51,IF('R9'!$D39='W9'!$A$52,'W9'!B$52,IF('R9'!$D39='W9'!$A$53,'W9'!B$53,IF('R9'!$D39='W9'!$A$54,'W9'!B$54,IF('R9'!$D39='W9'!$A$55,'W9'!B$55))))))))))),0)+ROUND(N11/'W9'!$C$5*'W9'!$C$10*(IF('R9'!$D39='W9'!$A$47,'W9'!C$47,IF('R9'!$D39='W9'!$A$48,'W9'!C$48,IF('R9'!$D39='W9'!$A$49,'W9'!C$49,IF('R9'!$D39='W9'!$A$50,'W9'!C$50,IF('R9'!$D39='W9'!$A$51,'W9'!C$51,IF('R9'!$D39='W9'!$A$52,'W9'!C$52,IF('R9'!$D39='W9'!$A$53,'W9'!C$53,IF('R9'!$D39='W9'!$A$54,'W9'!C$54,IF('R9'!$D39='W9'!$A$55,'W9'!C$55)))))))))),0))))))))</f>
        <v>0</v>
      </c>
      <c r="O39" s="187">
        <f ca="1">IF(O11=0,0,IF(AND($D39="F-SMRA",O11=0),0,IF(AND($D39="F-SMRB",O11=0),0,IF(AND($D39="F-SMRC",O11=0),0,IF($D39='W9'!$A$68,'W9'!D304,IF($D39='W9'!$A$69,'W9'!D304,IF($D39='W9'!$A$70,'W9'!D304,ROUND(('R9'!O11/'W9'!$D$5*'W9'!$D$9*(IF('R9'!$D39='W9'!$A$47,'W9'!D$47,IF('R9'!$D39='W9'!$A$48,'W9'!D$48,IF('R9'!$D39='W9'!$A$49,'W9'!D$49,IF('R9'!$D39='W9'!$A$50,'W9'!D$50,IF('R9'!$D39='W9'!$A$51,'W9'!D$51,IF('R9'!$D39='W9'!$A$52,'W9'!D$52,IF('R9'!$D39='W9'!$A$53,'W9'!D$53,IF('R9'!$D39='W9'!$A$54,'W9'!D$54,IF('R9'!$D39='W9'!$A$55,'W9'!D$55))))))))))),0)+ROUND(O11/'W9'!$D$5*'W9'!$D$10*(IF('R9'!$D39='W9'!$A$47,'W9'!E$47,IF('R9'!$D39='W9'!$A$48,'W9'!E$48,IF('R9'!$D39='W9'!$A$49,'W9'!E$49,IF('R9'!$D39='W9'!$A$50,'W9'!E$50,IF('R9'!$D39='W9'!$A$51,'W9'!E$51,IF('R9'!$D39='W9'!$A$52,'W9'!E$52,IF('R9'!$D39='W9'!$A$53,'W9'!E$53,IF('R9'!$D39='W9'!$A$54,'W9'!E$54,IF('R9'!$D39='W9'!$A$55,'W9'!E$55)))))))))),0))))))))</f>
        <v>0</v>
      </c>
      <c r="P39" s="187">
        <f ca="1">IF(P11=0,0,IF(AND($D39="F-SMRA",P11=0),0,IF(AND($D39="F-SMRB",P11=0),0,IF(AND($D39="F-SMRC",P11=0),0,IF($D39='W9'!$A$68,'W9'!F304,IF($D39='W9'!$A$69,'W9'!F304,IF($D39='W9'!$A$70,'W9'!F304,ROUND(('R9'!P11/'W9'!$E$5*'W9'!$E$9*(IF('R9'!$D39='W9'!$A$47,'W9'!F$47,IF('R9'!$D39='W9'!$A$48,'W9'!F$48,IF('R9'!$D39='W9'!$A$49,'W9'!F$49,IF('R9'!$D39='W9'!$A$50,'W9'!F$50,IF('R9'!$D39='W9'!$A$51,'W9'!F$51,IF('R9'!$D39='W9'!$A$52,'W9'!F$52,IF('R9'!$D39='W9'!$A$53,'W9'!F$53,IF('R9'!$D39='W9'!$A$54,'W9'!F$54,IF('R9'!$D39='W9'!$A$55,'W9'!F$55))))))))))),0)+ROUND(P11/'W9'!$E$5*'W9'!$E$10*(IF('R9'!$D39='W9'!$A$47,'W9'!G$47,IF('R9'!$D39='W9'!$A$48,'W9'!G$48,IF('R9'!$D39='W9'!$A$49,'W9'!G$49,IF('R9'!$D39='W9'!$A$50,'W9'!G$50,IF('R9'!$D39='W9'!$A$51,'W9'!G$51,IF('R9'!$D39='W9'!$A$52,'W9'!G$52,IF('R9'!$D39='W9'!$A$53,'W9'!G$53,IF('R9'!$D39='W9'!$A$54,'W9'!G$54,IF('R9'!$D39='W9'!$A$55,'W9'!G$55)))))))))),0))))))))</f>
        <v>0</v>
      </c>
      <c r="Q39" s="187">
        <f ca="1">IF(Q11=0,0,IF(AND($D39="F-SMRA",Q11=0),0,IF(AND($D39="F-SMRB",Q11=0),0,IF(AND($D39="F-SMRC",Q11=0),0,IF($D39='W9'!$A$68,'W9'!H304,IF($D39='W9'!$A$69,'W9'!H304,IF($D39='W9'!$A$70,'W9'!H304,ROUND(('R9'!Q11/'W9'!$F$5*'W9'!$F$9*(IF('R9'!$D39='W9'!$A$47,'W9'!H$47,IF('R9'!$D39='W9'!$A$48,'W9'!H$48,IF('R9'!$D39='W9'!$A$49,'W9'!H$49,IF('R9'!$D39='W9'!$A$50,'W9'!H$50,IF('R9'!$D39='W9'!$A$51,'W9'!H$51,IF('R9'!$D39='W9'!$A$52,'W9'!H$52,IF('R9'!$D39='W9'!$A$53,'W9'!H$53,IF('R9'!$D39='W9'!$A$54,'W9'!H$54,IF('R9'!$D39='W9'!$A$55,'W9'!H$55))))))))))),0)+ROUND(Q11/'W9'!$F$5*'W9'!$F$10*(IF('R9'!$D39='W9'!$A$47,'W9'!I$47,IF('R9'!$D39='W9'!$A$48,'W9'!I$48,IF('R9'!$D39='W9'!$A$49,'W9'!I$49,IF('R9'!$D39='W9'!$A$50,'W9'!I$50,IF('R9'!$D39='W9'!$A$51,'W9'!I$51,IF('R9'!$D39='W9'!$A$52,'W9'!I$52,IF('R9'!$D39='W9'!$A$53,'W9'!I$53,IF('R9'!$D39='W9'!$A$54,'W9'!I$54,IF('R9'!$D39='W9'!$A$55,'W9'!I$55)))))))))),0))))))))</f>
        <v>0</v>
      </c>
      <c r="R39" s="187">
        <f ca="1">IF(R11=0,0,IF(AND($D39="F-SMRA",R11=0),0,IF(AND($D39="F-SMRB",R11=0),0,IF(AND($D39="F-SMRC",R11=0),0,IF($D39='W9'!$A$68,'W9'!J304,IF($D39='W9'!$A$69,'W9'!J304,IF($D39='W9'!$A$70,'W9'!J304,ROUND(('R9'!R11/'W9'!$G$5*'W9'!$G$9*(IF('R9'!$D39='W9'!$A$47,'W9'!J$47,IF('R9'!$D39='W9'!$A$48,'W9'!J$48,IF('R9'!$D39='W9'!$A$49,'W9'!J$49,IF('R9'!$D39='W9'!$A$50,'W9'!J$50,IF('R9'!$D39='W9'!$A$51,'W9'!J$51,IF('R9'!$D39='W9'!$A$52,'W9'!J$52,IF('R9'!$D39='W9'!$A$53,'W9'!J$53,IF('R9'!$D39='W9'!$A$54,'W9'!J$54,IF('R9'!$D39='W9'!$A$55,'W9'!J$55))))))))))),0)+ROUND(R11/'W9'!$G$5*'W9'!$G$10*(IF('R9'!$D39='W9'!$A$47,'W9'!K$47,IF('R9'!$D39='W9'!$A$48,'W9'!K$48,IF('R9'!$D39='W9'!$A$49,'W9'!K$49,IF('R9'!$D39='W9'!$A$50,'W9'!K$50,IF('R9'!$D39='W9'!$A$51,'W9'!K$51,IF('R9'!$D39='W9'!$A$52,'W9'!K$52,IF('R9'!$D39='W9'!$A$53,'W9'!K$53,IF('R9'!$D39='W9'!$A$54,'W9'!K$54,IF('R9'!$D39='W9'!$A$55,'W9'!K$55)))))))))),0))))))))</f>
        <v>0</v>
      </c>
      <c r="S39" s="187">
        <f t="shared" ca="1" si="3"/>
        <v>0</v>
      </c>
      <c r="T39" s="248"/>
      <c r="U39" s="248"/>
      <c r="V39" s="248"/>
      <c r="W39" s="248"/>
      <c r="X39" s="248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x14ac:dyDescent="0.2">
      <c r="A40" s="92">
        <v>5</v>
      </c>
      <c r="B40" s="381">
        <f t="shared" si="2"/>
        <v>0</v>
      </c>
      <c r="C40" s="382"/>
      <c r="D40" s="199" t="s">
        <v>52</v>
      </c>
      <c r="E40" s="265" t="str">
        <f>IF($D40='W9'!$A$59,'W9'!B$59,IF($D40='W9'!$A$60,'W9'!B$60,IF($D40='W9'!$A$61,'W9'!B$61,IF($D40='W9'!$A$62,'W9'!B$62,IF($D40='W9'!$A$63,'W9'!B$63,IF($D40='W9'!$A$64,'W9'!B$64,IF($D40='W9'!$A$65,'W9'!B$65,IF($D40='W9'!$A$66,'W9'!B$66,IF($D40='W9'!$A$67,'W9'!B$67,IF($D40='W9'!$A$68,'W9'!B279,IF($D40='W9'!$A$69,'W9'!B279,IF($D40='W9'!$A$70,'W9'!B279,IF($D40='W9'!$A$71,"")))))))))))))</f>
        <v/>
      </c>
      <c r="F40" s="378" t="str">
        <f>IF($D40='W9'!$A$59,'W9'!C$59,IF($D40='W9'!$A$60,'W9'!C$60,IF($D40='W9'!$A$61,'W9'!C$61,IF($D40='W9'!$A$62,'W9'!C$62,IF($D40='W9'!$A$63,'W9'!C$63,IF($D40='W9'!$A$64,'W9'!C$64,IF($D40='W9'!$A$65,'W9'!C$65,IF($D40='W9'!$A$66,'W9'!C$66,IF($D40='W9'!$A$67,'W9'!C$67,IF($D40='W9'!$A$68,'W9'!D279,IF($D40='W9'!$A$69,'W9'!D279,IF($D40='W9'!$A$70,'W9'!D279,IF($D40='W9'!$A$71,"")))))))))))))</f>
        <v/>
      </c>
      <c r="G40" s="379"/>
      <c r="H40" s="366" t="str">
        <f>IF($D40='W9'!$A$59,'W9'!D$59,IF($D40='W9'!$A$60,'W9'!D$60,IF($D40='W9'!$A$61,'W9'!D$61,IF($D40='W9'!$A$62,'W9'!D$62,IF($D40='W9'!$A$63,'W9'!D$63,IF($D40='W9'!$A$64,'W9'!D$64,IF($D40='W9'!$A$65,'W9'!D$65,IF($D40='W9'!$A$66,'W9'!D$66,IF($D40='W9'!$A$67,'W9'!D$67,IF($D40='W9'!$A$68,'W9'!F279,IF($D40='W9'!$A$69,'W9'!F279,IF($D40='W9'!$A$70,'W9'!F279,IF($D40='W9'!$A$71,"")))))))))))))</f>
        <v/>
      </c>
      <c r="I40" s="367"/>
      <c r="J40" s="366" t="str">
        <f>IF($D40='W9'!$A$59,'W9'!E$59,IF($D40='W9'!$A$60,'W9'!E$60,IF($D40='W9'!$A$61,'W9'!E$61,IF($D40='W9'!$A$62,'W9'!E$62,IF($D40='W9'!$A$63,'W9'!E$63,IF($D40='W9'!$A$64,'W9'!E$64,IF($D40='W9'!$A$65,'W9'!E$65,IF($D40='W9'!$A$66,'W9'!E$66,IF($D40='W9'!$A$67,'W9'!E$67,IF($D40='W9'!$A$68,'W9'!H279,IF($D40='W9'!$A$69,'W9'!H279,IF($D40='W9'!$A$70,'W9'!H279,IF($D40='W9'!$A$71,"")))))))))))))</f>
        <v/>
      </c>
      <c r="K40" s="367"/>
      <c r="L40" s="366" t="str">
        <f>IF($D40='W9'!$A$59,'W9'!F$59,IF($D40='W9'!$A$60,'W9'!F$60,IF($D40='W9'!$A$61,'W9'!F$61,IF($D40='W9'!$A$62,'W9'!F$62,IF($D40='W9'!$A$63,'W9'!F$63,IF($D40='W9'!$A$64,'W9'!F$64,IF($D40='W9'!$A$65,'W9'!F$65,IF($D40='W9'!$A$66,'W9'!F$66,IF($D40='W9'!$A$67,'W9'!F$67,IF($D40='W9'!$A$68,'W9'!J279,IF($D40='W9'!$A$69,'W9'!J279,IF($D40='W9'!$A$70,'W9'!J279,IF($D40='W9'!$A$71,"")))))))))))))</f>
        <v/>
      </c>
      <c r="M40" s="367"/>
      <c r="N40" s="187">
        <f ca="1">IF(N12=0,0,IF(AND($D40="F-SMRA",N12=0),0,IF(AND($D40="F-SMRB",N12=0),0,IF(AND($D40="F-SMRC",N12=0),0,IF($D40='W9'!$A$68,'W9'!B305,IF($D40='W9'!$A$69,'W9'!B305,IF($D40='W9'!$A$70,'W9'!B305,ROUND(('R9'!N12/'W9'!$C$5*'W9'!$C$9*(IF('R9'!$D40='W9'!$A$47,'W9'!B$47,IF('R9'!$D40='W9'!$A$48,'W9'!B$48,IF('R9'!$D40='W9'!$A$49,'W9'!B$49,IF('R9'!$D40='W9'!$A$50,'W9'!B$50,IF('R9'!$D40='W9'!$A$51,'W9'!B$51,IF('R9'!$D40='W9'!$A$52,'W9'!B$52,IF('R9'!$D40='W9'!$A$53,'W9'!B$53,IF('R9'!$D40='W9'!$A$54,'W9'!B$54,IF('R9'!$D40='W9'!$A$55,'W9'!B$55))))))))))),0)+ROUND(N12/'W9'!$C$5*'W9'!$C$10*(IF('R9'!$D40='W9'!$A$47,'W9'!C$47,IF('R9'!$D40='W9'!$A$48,'W9'!C$48,IF('R9'!$D40='W9'!$A$49,'W9'!C$49,IF('R9'!$D40='W9'!$A$50,'W9'!C$50,IF('R9'!$D40='W9'!$A$51,'W9'!C$51,IF('R9'!$D40='W9'!$A$52,'W9'!C$52,IF('R9'!$D40='W9'!$A$53,'W9'!C$53,IF('R9'!$D40='W9'!$A$54,'W9'!C$54,IF('R9'!$D40='W9'!$A$55,'W9'!C$55)))))))))),0))))))))</f>
        <v>0</v>
      </c>
      <c r="O40" s="187">
        <f ca="1">IF(O12=0,0,IF(AND($D40="F-SMRA",O12=0),0,IF(AND($D40="F-SMRB",O12=0),0,IF(AND($D40="F-SMRC",O12=0),0,IF($D40='W9'!$A$68,'W9'!D305,IF($D40='W9'!$A$69,'W9'!D305,IF($D40='W9'!$A$70,'W9'!D305,ROUND(('R9'!O12/'W9'!$D$5*'W9'!$D$9*(IF('R9'!$D40='W9'!$A$47,'W9'!D$47,IF('R9'!$D40='W9'!$A$48,'W9'!D$48,IF('R9'!$D40='W9'!$A$49,'W9'!D$49,IF('R9'!$D40='W9'!$A$50,'W9'!D$50,IF('R9'!$D40='W9'!$A$51,'W9'!D$51,IF('R9'!$D40='W9'!$A$52,'W9'!D$52,IF('R9'!$D40='W9'!$A$53,'W9'!D$53,IF('R9'!$D40='W9'!$A$54,'W9'!D$54,IF('R9'!$D40='W9'!$A$55,'W9'!D$55))))))))))),0)+ROUND(O12/'W9'!$D$5*'W9'!$D$10*(IF('R9'!$D40='W9'!$A$47,'W9'!E$47,IF('R9'!$D40='W9'!$A$48,'W9'!E$48,IF('R9'!$D40='W9'!$A$49,'W9'!E$49,IF('R9'!$D40='W9'!$A$50,'W9'!E$50,IF('R9'!$D40='W9'!$A$51,'W9'!E$51,IF('R9'!$D40='W9'!$A$52,'W9'!E$52,IF('R9'!$D40='W9'!$A$53,'W9'!E$53,IF('R9'!$D40='W9'!$A$54,'W9'!E$54,IF('R9'!$D40='W9'!$A$55,'W9'!E$55)))))))))),0))))))))</f>
        <v>0</v>
      </c>
      <c r="P40" s="187">
        <f ca="1">IF(P12=0,0,IF(AND($D40="F-SMRA",P12=0),0,IF(AND($D40="F-SMRB",P12=0),0,IF(AND($D40="F-SMRC",P12=0),0,IF($D40='W9'!$A$68,'W9'!F305,IF($D40='W9'!$A$69,'W9'!F305,IF($D40='W9'!$A$70,'W9'!F305,ROUND(('R9'!P12/'W9'!$E$5*'W9'!$E$9*(IF('R9'!$D40='W9'!$A$47,'W9'!F$47,IF('R9'!$D40='W9'!$A$48,'W9'!F$48,IF('R9'!$D40='W9'!$A$49,'W9'!F$49,IF('R9'!$D40='W9'!$A$50,'W9'!F$50,IF('R9'!$D40='W9'!$A$51,'W9'!F$51,IF('R9'!$D40='W9'!$A$52,'W9'!F$52,IF('R9'!$D40='W9'!$A$53,'W9'!F$53,IF('R9'!$D40='W9'!$A$54,'W9'!F$54,IF('R9'!$D40='W9'!$A$55,'W9'!F$55))))))))))),0)+ROUND(P12/'W9'!$E$5*'W9'!$E$10*(IF('R9'!$D40='W9'!$A$47,'W9'!G$47,IF('R9'!$D40='W9'!$A$48,'W9'!G$48,IF('R9'!$D40='W9'!$A$49,'W9'!G$49,IF('R9'!$D40='W9'!$A$50,'W9'!G$50,IF('R9'!$D40='W9'!$A$51,'W9'!G$51,IF('R9'!$D40='W9'!$A$52,'W9'!G$52,IF('R9'!$D40='W9'!$A$53,'W9'!G$53,IF('R9'!$D40='W9'!$A$54,'W9'!G$54,IF('R9'!$D40='W9'!$A$55,'W9'!G$55)))))))))),0))))))))</f>
        <v>0</v>
      </c>
      <c r="Q40" s="187">
        <f ca="1">IF(Q12=0,0,IF(AND($D40="F-SMRA",Q12=0),0,IF(AND($D40="F-SMRB",Q12=0),0,IF(AND($D40="F-SMRC",Q12=0),0,IF($D40='W9'!$A$68,'W9'!H305,IF($D40='W9'!$A$69,'W9'!H305,IF($D40='W9'!$A$70,'W9'!H305,ROUND(('R9'!Q12/'W9'!$F$5*'W9'!$F$9*(IF('R9'!$D40='W9'!$A$47,'W9'!H$47,IF('R9'!$D40='W9'!$A$48,'W9'!H$48,IF('R9'!$D40='W9'!$A$49,'W9'!H$49,IF('R9'!$D40='W9'!$A$50,'W9'!H$50,IF('R9'!$D40='W9'!$A$51,'W9'!H$51,IF('R9'!$D40='W9'!$A$52,'W9'!H$52,IF('R9'!$D40='W9'!$A$53,'W9'!H$53,IF('R9'!$D40='W9'!$A$54,'W9'!H$54,IF('R9'!$D40='W9'!$A$55,'W9'!H$55))))))))))),0)+ROUND(Q12/'W9'!$F$5*'W9'!$F$10*(IF('R9'!$D40='W9'!$A$47,'W9'!I$47,IF('R9'!$D40='W9'!$A$48,'W9'!I$48,IF('R9'!$D40='W9'!$A$49,'W9'!I$49,IF('R9'!$D40='W9'!$A$50,'W9'!I$50,IF('R9'!$D40='W9'!$A$51,'W9'!I$51,IF('R9'!$D40='W9'!$A$52,'W9'!I$52,IF('R9'!$D40='W9'!$A$53,'W9'!I$53,IF('R9'!$D40='W9'!$A$54,'W9'!I$54,IF('R9'!$D40='W9'!$A$55,'W9'!I$55)))))))))),0))))))))</f>
        <v>0</v>
      </c>
      <c r="R40" s="187">
        <f ca="1">IF(R12=0,0,IF(AND($D40="F-SMRA",R12=0),0,IF(AND($D40="F-SMRB",R12=0),0,IF(AND($D40="F-SMRC",R12=0),0,IF($D40='W9'!$A$68,'W9'!J305,IF($D40='W9'!$A$69,'W9'!J305,IF($D40='W9'!$A$70,'W9'!J305,ROUND(('R9'!R12/'W9'!$G$5*'W9'!$G$9*(IF('R9'!$D40='W9'!$A$47,'W9'!J$47,IF('R9'!$D40='W9'!$A$48,'W9'!J$48,IF('R9'!$D40='W9'!$A$49,'W9'!J$49,IF('R9'!$D40='W9'!$A$50,'W9'!J$50,IF('R9'!$D40='W9'!$A$51,'W9'!J$51,IF('R9'!$D40='W9'!$A$52,'W9'!J$52,IF('R9'!$D40='W9'!$A$53,'W9'!J$53,IF('R9'!$D40='W9'!$A$54,'W9'!J$54,IF('R9'!$D40='W9'!$A$55,'W9'!J$55))))))))))),0)+ROUND(R12/'W9'!$G$5*'W9'!$G$10*(IF('R9'!$D40='W9'!$A$47,'W9'!K$47,IF('R9'!$D40='W9'!$A$48,'W9'!K$48,IF('R9'!$D40='W9'!$A$49,'W9'!K$49,IF('R9'!$D40='W9'!$A$50,'W9'!K$50,IF('R9'!$D40='W9'!$A$51,'W9'!K$51,IF('R9'!$D40='W9'!$A$52,'W9'!K$52,IF('R9'!$D40='W9'!$A$53,'W9'!K$53,IF('R9'!$D40='W9'!$A$54,'W9'!K$54,IF('R9'!$D40='W9'!$A$55,'W9'!K$55)))))))))),0))))))))</f>
        <v>0</v>
      </c>
      <c r="S40" s="187">
        <f t="shared" ca="1" si="3"/>
        <v>0</v>
      </c>
      <c r="T40" s="248"/>
      <c r="U40" s="248"/>
      <c r="V40" s="248"/>
      <c r="W40" s="248"/>
      <c r="X40" s="248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x14ac:dyDescent="0.2">
      <c r="A41" s="92">
        <v>6</v>
      </c>
      <c r="B41" s="381">
        <f t="shared" si="2"/>
        <v>0</v>
      </c>
      <c r="C41" s="382"/>
      <c r="D41" s="199" t="s">
        <v>52</v>
      </c>
      <c r="E41" s="265" t="str">
        <f>IF($D41='W9'!$A$59,'W9'!B$59,IF($D41='W9'!$A$60,'W9'!B$60,IF($D41='W9'!$A$61,'W9'!B$61,IF($D41='W9'!$A$62,'W9'!B$62,IF($D41='W9'!$A$63,'W9'!B$63,IF($D41='W9'!$A$64,'W9'!B$64,IF($D41='W9'!$A$65,'W9'!B$65,IF($D41='W9'!$A$66,'W9'!B$66,IF($D41='W9'!$A$67,'W9'!B$67,IF($D41='W9'!$A$68,'W9'!B280,IF($D41='W9'!$A$69,'W9'!B280,IF($D41='W9'!$A$70,'W9'!B280,IF($D41='W9'!$A$71,"")))))))))))))</f>
        <v/>
      </c>
      <c r="F41" s="378" t="str">
        <f>IF($D41='W9'!$A$59,'W9'!C$59,IF($D41='W9'!$A$60,'W9'!C$60,IF($D41='W9'!$A$61,'W9'!C$61,IF($D41='W9'!$A$62,'W9'!C$62,IF($D41='W9'!$A$63,'W9'!C$63,IF($D41='W9'!$A$64,'W9'!C$64,IF($D41='W9'!$A$65,'W9'!C$65,IF($D41='W9'!$A$66,'W9'!C$66,IF($D41='W9'!$A$67,'W9'!C$67,IF($D41='W9'!$A$68,'W9'!D280,IF($D41='W9'!$A$69,'W9'!D280,IF($D41='W9'!$A$70,'W9'!D280,IF($D41='W9'!$A$71,"")))))))))))))</f>
        <v/>
      </c>
      <c r="G41" s="379"/>
      <c r="H41" s="366" t="str">
        <f>IF($D41='W9'!$A$59,'W9'!D$59,IF($D41='W9'!$A$60,'W9'!D$60,IF($D41='W9'!$A$61,'W9'!D$61,IF($D41='W9'!$A$62,'W9'!D$62,IF($D41='W9'!$A$63,'W9'!D$63,IF($D41='W9'!$A$64,'W9'!D$64,IF($D41='W9'!$A$65,'W9'!D$65,IF($D41='W9'!$A$66,'W9'!D$66,IF($D41='W9'!$A$67,'W9'!D$67,IF($D41='W9'!$A$68,'W9'!F280,IF($D41='W9'!$A$69,'W9'!F280,IF($D41='W9'!$A$70,'W9'!F280,IF($D41='W9'!$A$71,"")))))))))))))</f>
        <v/>
      </c>
      <c r="I41" s="367"/>
      <c r="J41" s="366" t="str">
        <f>IF($D41='W9'!$A$59,'W9'!E$59,IF($D41='W9'!$A$60,'W9'!E$60,IF($D41='W9'!$A$61,'W9'!E$61,IF($D41='W9'!$A$62,'W9'!E$62,IF($D41='W9'!$A$63,'W9'!E$63,IF($D41='W9'!$A$64,'W9'!E$64,IF($D41='W9'!$A$65,'W9'!E$65,IF($D41='W9'!$A$66,'W9'!E$66,IF($D41='W9'!$A$67,'W9'!E$67,IF($D41='W9'!$A$68,'W9'!H280,IF($D41='W9'!$A$69,'W9'!H280,IF($D41='W9'!$A$70,'W9'!H280,IF($D41='W9'!$A$71,"")))))))))))))</f>
        <v/>
      </c>
      <c r="K41" s="367"/>
      <c r="L41" s="366" t="str">
        <f>IF($D41='W9'!$A$59,'W9'!F$59,IF($D41='W9'!$A$60,'W9'!F$60,IF($D41='W9'!$A$61,'W9'!F$61,IF($D41='W9'!$A$62,'W9'!F$62,IF($D41='W9'!$A$63,'W9'!F$63,IF($D41='W9'!$A$64,'W9'!F$64,IF($D41='W9'!$A$65,'W9'!F$65,IF($D41='W9'!$A$66,'W9'!F$66,IF($D41='W9'!$A$67,'W9'!F$67,IF($D41='W9'!$A$68,'W9'!J280,IF($D41='W9'!$A$69,'W9'!J280,IF($D41='W9'!$A$70,'W9'!J280,IF($D41='W9'!$A$71,"")))))))))))))</f>
        <v/>
      </c>
      <c r="M41" s="367"/>
      <c r="N41" s="187">
        <f ca="1">IF(N13=0,0,IF(AND($D41="F-SMRA",N13=0),0,IF(AND($D41="F-SMRB",N13=0),0,IF(AND($D41="F-SMRC",N13=0),0,IF($D41='W9'!$A$68,'W9'!B306,IF($D41='W9'!$A$69,'W9'!B306,IF($D41='W9'!$A$70,'W9'!B306,ROUND(('R9'!N13/'W9'!$C$5*'W9'!$C$9*(IF('R9'!$D41='W9'!$A$47,'W9'!B$47,IF('R9'!$D41='W9'!$A$48,'W9'!B$48,IF('R9'!$D41='W9'!$A$49,'W9'!B$49,IF('R9'!$D41='W9'!$A$50,'W9'!B$50,IF('R9'!$D41='W9'!$A$51,'W9'!B$51,IF('R9'!$D41='W9'!$A$52,'W9'!B$52,IF('R9'!$D41='W9'!$A$53,'W9'!B$53,IF('R9'!$D41='W9'!$A$54,'W9'!B$54,IF('R9'!$D41='W9'!$A$55,'W9'!B$55))))))))))),0)+ROUND(N13/'W9'!$C$5*'W9'!$C$10*(IF('R9'!$D41='W9'!$A$47,'W9'!C$47,IF('R9'!$D41='W9'!$A$48,'W9'!C$48,IF('R9'!$D41='W9'!$A$49,'W9'!C$49,IF('R9'!$D41='W9'!$A$50,'W9'!C$50,IF('R9'!$D41='W9'!$A$51,'W9'!C$51,IF('R9'!$D41='W9'!$A$52,'W9'!C$52,IF('R9'!$D41='W9'!$A$53,'W9'!C$53,IF('R9'!$D41='W9'!$A$54,'W9'!C$54,IF('R9'!$D41='W9'!$A$55,'W9'!C$55)))))))))),0))))))))</f>
        <v>0</v>
      </c>
      <c r="O41" s="187">
        <f ca="1">IF(O13=0,0,IF(AND($D41="F-SMRA",O13=0),0,IF(AND($D41="F-SMRB",O13=0),0,IF(AND($D41="F-SMRC",O13=0),0,IF($D41='W9'!$A$68,'W9'!D306,IF($D41='W9'!$A$69,'W9'!D306,IF($D41='W9'!$A$70,'W9'!D306,ROUND(('R9'!O13/'W9'!$D$5*'W9'!$D$9*(IF('R9'!$D41='W9'!$A$47,'W9'!D$47,IF('R9'!$D41='W9'!$A$48,'W9'!D$48,IF('R9'!$D41='W9'!$A$49,'W9'!D$49,IF('R9'!$D41='W9'!$A$50,'W9'!D$50,IF('R9'!$D41='W9'!$A$51,'W9'!D$51,IF('R9'!$D41='W9'!$A$52,'W9'!D$52,IF('R9'!$D41='W9'!$A$53,'W9'!D$53,IF('R9'!$D41='W9'!$A$54,'W9'!D$54,IF('R9'!$D41='W9'!$A$55,'W9'!D$55))))))))))),0)+ROUND(O13/'W9'!$D$5*'W9'!$D$10*(IF('R9'!$D41='W9'!$A$47,'W9'!E$47,IF('R9'!$D41='W9'!$A$48,'W9'!E$48,IF('R9'!$D41='W9'!$A$49,'W9'!E$49,IF('R9'!$D41='W9'!$A$50,'W9'!E$50,IF('R9'!$D41='W9'!$A$51,'W9'!E$51,IF('R9'!$D41='W9'!$A$52,'W9'!E$52,IF('R9'!$D41='W9'!$A$53,'W9'!E$53,IF('R9'!$D41='W9'!$A$54,'W9'!E$54,IF('R9'!$D41='W9'!$A$55,'W9'!E$55)))))))))),0))))))))</f>
        <v>0</v>
      </c>
      <c r="P41" s="187">
        <f ca="1">IF(P13=0,0,IF(AND($D41="F-SMRA",P13=0),0,IF(AND($D41="F-SMRB",P13=0),0,IF(AND($D41="F-SMRC",P13=0),0,IF($D41='W9'!$A$68,'W9'!F306,IF($D41='W9'!$A$69,'W9'!F306,IF($D41='W9'!$A$70,'W9'!F306,ROUND(('R9'!P13/'W9'!$E$5*'W9'!$E$9*(IF('R9'!$D41='W9'!$A$47,'W9'!F$47,IF('R9'!$D41='W9'!$A$48,'W9'!F$48,IF('R9'!$D41='W9'!$A$49,'W9'!F$49,IF('R9'!$D41='W9'!$A$50,'W9'!F$50,IF('R9'!$D41='W9'!$A$51,'W9'!F$51,IF('R9'!$D41='W9'!$A$52,'W9'!F$52,IF('R9'!$D41='W9'!$A$53,'W9'!F$53,IF('R9'!$D41='W9'!$A$54,'W9'!F$54,IF('R9'!$D41='W9'!$A$55,'W9'!F$55))))))))))),0)+ROUND(P13/'W9'!$E$5*'W9'!$E$10*(IF('R9'!$D41='W9'!$A$47,'W9'!G$47,IF('R9'!$D41='W9'!$A$48,'W9'!G$48,IF('R9'!$D41='W9'!$A$49,'W9'!G$49,IF('R9'!$D41='W9'!$A$50,'W9'!G$50,IF('R9'!$D41='W9'!$A$51,'W9'!G$51,IF('R9'!$D41='W9'!$A$52,'W9'!G$52,IF('R9'!$D41='W9'!$A$53,'W9'!G$53,IF('R9'!$D41='W9'!$A$54,'W9'!G$54,IF('R9'!$D41='W9'!$A$55,'W9'!G$55)))))))))),0))))))))</f>
        <v>0</v>
      </c>
      <c r="Q41" s="187">
        <f ca="1">IF(Q13=0,0,IF(AND($D41="F-SMRA",Q13=0),0,IF(AND($D41="F-SMRB",Q13=0),0,IF(AND($D41="F-SMRC",Q13=0),0,IF($D41='W9'!$A$68,'W9'!H306,IF($D41='W9'!$A$69,'W9'!H306,IF($D41='W9'!$A$70,'W9'!H306,ROUND(('R9'!Q13/'W9'!$F$5*'W9'!$F$9*(IF('R9'!$D41='W9'!$A$47,'W9'!H$47,IF('R9'!$D41='W9'!$A$48,'W9'!H$48,IF('R9'!$D41='W9'!$A$49,'W9'!H$49,IF('R9'!$D41='W9'!$A$50,'W9'!H$50,IF('R9'!$D41='W9'!$A$51,'W9'!H$51,IF('R9'!$D41='W9'!$A$52,'W9'!H$52,IF('R9'!$D41='W9'!$A$53,'W9'!H$53,IF('R9'!$D41='W9'!$A$54,'W9'!H$54,IF('R9'!$D41='W9'!$A$55,'W9'!H$55))))))))))),0)+ROUND(Q13/'W9'!$F$5*'W9'!$F$10*(IF('R9'!$D41='W9'!$A$47,'W9'!I$47,IF('R9'!$D41='W9'!$A$48,'W9'!I$48,IF('R9'!$D41='W9'!$A$49,'W9'!I$49,IF('R9'!$D41='W9'!$A$50,'W9'!I$50,IF('R9'!$D41='W9'!$A$51,'W9'!I$51,IF('R9'!$D41='W9'!$A$52,'W9'!I$52,IF('R9'!$D41='W9'!$A$53,'W9'!I$53,IF('R9'!$D41='W9'!$A$54,'W9'!I$54,IF('R9'!$D41='W9'!$A$55,'W9'!I$55)))))))))),0))))))))</f>
        <v>0</v>
      </c>
      <c r="R41" s="187">
        <f ca="1">IF(R13=0,0,IF(AND($D41="F-SMRA",R13=0),0,IF(AND($D41="F-SMRB",R13=0),0,IF(AND($D41="F-SMRC",R13=0),0,IF($D41='W9'!$A$68,'W9'!J306,IF($D41='W9'!$A$69,'W9'!J306,IF($D41='W9'!$A$70,'W9'!J306,ROUND(('R9'!R13/'W9'!$G$5*'W9'!$G$9*(IF('R9'!$D41='W9'!$A$47,'W9'!J$47,IF('R9'!$D41='W9'!$A$48,'W9'!J$48,IF('R9'!$D41='W9'!$A$49,'W9'!J$49,IF('R9'!$D41='W9'!$A$50,'W9'!J$50,IF('R9'!$D41='W9'!$A$51,'W9'!J$51,IF('R9'!$D41='W9'!$A$52,'W9'!J$52,IF('R9'!$D41='W9'!$A$53,'W9'!J$53,IF('R9'!$D41='W9'!$A$54,'W9'!J$54,IF('R9'!$D41='W9'!$A$55,'W9'!J$55))))))))))),0)+ROUND(R13/'W9'!$G$5*'W9'!$G$10*(IF('R9'!$D41='W9'!$A$47,'W9'!K$47,IF('R9'!$D41='W9'!$A$48,'W9'!K$48,IF('R9'!$D41='W9'!$A$49,'W9'!K$49,IF('R9'!$D41='W9'!$A$50,'W9'!K$50,IF('R9'!$D41='W9'!$A$51,'W9'!K$51,IF('R9'!$D41='W9'!$A$52,'W9'!K$52,IF('R9'!$D41='W9'!$A$53,'W9'!K$53,IF('R9'!$D41='W9'!$A$54,'W9'!K$54,IF('R9'!$D41='W9'!$A$55,'W9'!K$55)))))))))),0))))))))</f>
        <v>0</v>
      </c>
      <c r="S41" s="187">
        <f t="shared" ca="1" si="3"/>
        <v>0</v>
      </c>
      <c r="T41" s="248"/>
      <c r="U41" s="248"/>
      <c r="V41" s="248"/>
      <c r="W41" s="248"/>
      <c r="X41" s="248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x14ac:dyDescent="0.2">
      <c r="A42" s="92">
        <v>7</v>
      </c>
      <c r="B42" s="381">
        <f t="shared" si="2"/>
        <v>0</v>
      </c>
      <c r="C42" s="382"/>
      <c r="D42" s="199" t="s">
        <v>52</v>
      </c>
      <c r="E42" s="265" t="str">
        <f>IF($D42='W9'!$A$59,'W9'!B$59,IF($D42='W9'!$A$60,'W9'!B$60,IF($D42='W9'!$A$61,'W9'!B$61,IF($D42='W9'!$A$62,'W9'!B$62,IF($D42='W9'!$A$63,'W9'!B$63,IF($D42='W9'!$A$64,'W9'!B$64,IF($D42='W9'!$A$65,'W9'!B$65,IF($D42='W9'!$A$66,'W9'!B$66,IF($D42='W9'!$A$67,'W9'!B$67,IF($D42='W9'!$A$68,'W9'!B281,IF($D42='W9'!$A$69,'W9'!B281,IF($D42='W9'!$A$70,'W9'!B281,IF($D42='W9'!$A$71,"")))))))))))))</f>
        <v/>
      </c>
      <c r="F42" s="378" t="str">
        <f>IF($D42='W9'!$A$59,'W9'!C$59,IF($D42='W9'!$A$60,'W9'!C$60,IF($D42='W9'!$A$61,'W9'!C$61,IF($D42='W9'!$A$62,'W9'!C$62,IF($D42='W9'!$A$63,'W9'!C$63,IF($D42='W9'!$A$64,'W9'!C$64,IF($D42='W9'!$A$65,'W9'!C$65,IF($D42='W9'!$A$66,'W9'!C$66,IF($D42='W9'!$A$67,'W9'!C$67,IF($D42='W9'!$A$68,'W9'!D281,IF($D42='W9'!$A$69,'W9'!D281,IF($D42='W9'!$A$70,'W9'!D281,IF($D42='W9'!$A$71,"")))))))))))))</f>
        <v/>
      </c>
      <c r="G42" s="379"/>
      <c r="H42" s="366" t="str">
        <f>IF($D42='W9'!$A$59,'W9'!D$59,IF($D42='W9'!$A$60,'W9'!D$60,IF($D42='W9'!$A$61,'W9'!D$61,IF($D42='W9'!$A$62,'W9'!D$62,IF($D42='W9'!$A$63,'W9'!D$63,IF($D42='W9'!$A$64,'W9'!D$64,IF($D42='W9'!$A$65,'W9'!D$65,IF($D42='W9'!$A$66,'W9'!D$66,IF($D42='W9'!$A$67,'W9'!D$67,IF($D42='W9'!$A$68,'W9'!F281,IF($D42='W9'!$A$69,'W9'!F281,IF($D42='W9'!$A$70,'W9'!F281,IF($D42='W9'!$A$71,"")))))))))))))</f>
        <v/>
      </c>
      <c r="I42" s="367"/>
      <c r="J42" s="366" t="str">
        <f>IF($D42='W9'!$A$59,'W9'!E$59,IF($D42='W9'!$A$60,'W9'!E$60,IF($D42='W9'!$A$61,'W9'!E$61,IF($D42='W9'!$A$62,'W9'!E$62,IF($D42='W9'!$A$63,'W9'!E$63,IF($D42='W9'!$A$64,'W9'!E$64,IF($D42='W9'!$A$65,'W9'!E$65,IF($D42='W9'!$A$66,'W9'!E$66,IF($D42='W9'!$A$67,'W9'!E$67,IF($D42='W9'!$A$68,'W9'!H281,IF($D42='W9'!$A$69,'W9'!H281,IF($D42='W9'!$A$70,'W9'!H281,IF($D42='W9'!$A$71,"")))))))))))))</f>
        <v/>
      </c>
      <c r="K42" s="367"/>
      <c r="L42" s="366" t="str">
        <f>IF($D42='W9'!$A$59,'W9'!F$59,IF($D42='W9'!$A$60,'W9'!F$60,IF($D42='W9'!$A$61,'W9'!F$61,IF($D42='W9'!$A$62,'W9'!F$62,IF($D42='W9'!$A$63,'W9'!F$63,IF($D42='W9'!$A$64,'W9'!F$64,IF($D42='W9'!$A$65,'W9'!F$65,IF($D42='W9'!$A$66,'W9'!F$66,IF($D42='W9'!$A$67,'W9'!F$67,IF($D42='W9'!$A$68,'W9'!J281,IF($D42='W9'!$A$69,'W9'!J281,IF($D42='W9'!$A$70,'W9'!J281,IF($D42='W9'!$A$71,"")))))))))))))</f>
        <v/>
      </c>
      <c r="M42" s="367"/>
      <c r="N42" s="187">
        <f ca="1">IF(N14=0,0,IF(AND($D42="F-SMRA",N14=0),0,IF(AND($D42="F-SMRB",N14=0),0,IF(AND($D42="F-SMRC",N14=0),0,IF($D42='W9'!$A$68,'W9'!B307,IF($D42='W9'!$A$69,'W9'!B307,IF($D42='W9'!$A$70,'W9'!B307,ROUND(('R9'!N14/'W9'!$C$5*'W9'!$C$9*(IF('R9'!$D42='W9'!$A$47,'W9'!B$47,IF('R9'!$D42='W9'!$A$48,'W9'!B$48,IF('R9'!$D42='W9'!$A$49,'W9'!B$49,IF('R9'!$D42='W9'!$A$50,'W9'!B$50,IF('R9'!$D42='W9'!$A$51,'W9'!B$51,IF('R9'!$D42='W9'!$A$52,'W9'!B$52,IF('R9'!$D42='W9'!$A$53,'W9'!B$53,IF('R9'!$D42='W9'!$A$54,'W9'!B$54,IF('R9'!$D42='W9'!$A$55,'W9'!B$55))))))))))),0)+ROUND(N14/'W9'!$C$5*'W9'!$C$10*(IF('R9'!$D42='W9'!$A$47,'W9'!C$47,IF('R9'!$D42='W9'!$A$48,'W9'!C$48,IF('R9'!$D42='W9'!$A$49,'W9'!C$49,IF('R9'!$D42='W9'!$A$50,'W9'!C$50,IF('R9'!$D42='W9'!$A$51,'W9'!C$51,IF('R9'!$D42='W9'!$A$52,'W9'!C$52,IF('R9'!$D42='W9'!$A$53,'W9'!C$53,IF('R9'!$D42='W9'!$A$54,'W9'!C$54,IF('R9'!$D42='W9'!$A$55,'W9'!C$55)))))))))),0))))))))</f>
        <v>0</v>
      </c>
      <c r="O42" s="187">
        <f ca="1">IF(O14=0,0,IF(AND($D42="F-SMRA",O14=0),0,IF(AND($D42="F-SMRB",O14=0),0,IF(AND($D42="F-SMRC",O14=0),0,IF($D42='W9'!$A$68,'W9'!D307,IF($D42='W9'!$A$69,'W9'!D307,IF($D42='W9'!$A$70,'W9'!D307,ROUND(('R9'!O14/'W9'!$D$5*'W9'!$D$9*(IF('R9'!$D42='W9'!$A$47,'W9'!D$47,IF('R9'!$D42='W9'!$A$48,'W9'!D$48,IF('R9'!$D42='W9'!$A$49,'W9'!D$49,IF('R9'!$D42='W9'!$A$50,'W9'!D$50,IF('R9'!$D42='W9'!$A$51,'W9'!D$51,IF('R9'!$D42='W9'!$A$52,'W9'!D$52,IF('R9'!$D42='W9'!$A$53,'W9'!D$53,IF('R9'!$D42='W9'!$A$54,'W9'!D$54,IF('R9'!$D42='W9'!$A$55,'W9'!D$55))))))))))),0)+ROUND(O14/'W9'!$D$5*'W9'!$D$10*(IF('R9'!$D42='W9'!$A$47,'W9'!E$47,IF('R9'!$D42='W9'!$A$48,'W9'!E$48,IF('R9'!$D42='W9'!$A$49,'W9'!E$49,IF('R9'!$D42='W9'!$A$50,'W9'!E$50,IF('R9'!$D42='W9'!$A$51,'W9'!E$51,IF('R9'!$D42='W9'!$A$52,'W9'!E$52,IF('R9'!$D42='W9'!$A$53,'W9'!E$53,IF('R9'!$D42='W9'!$A$54,'W9'!E$54,IF('R9'!$D42='W9'!$A$55,'W9'!E$55)))))))))),0))))))))</f>
        <v>0</v>
      </c>
      <c r="P42" s="187">
        <f ca="1">IF(P14=0,0,IF(AND($D42="F-SMRA",P14=0),0,IF(AND($D42="F-SMRB",P14=0),0,IF(AND($D42="F-SMRC",P14=0),0,IF($D42='W9'!$A$68,'W9'!F307,IF($D42='W9'!$A$69,'W9'!F307,IF($D42='W9'!$A$70,'W9'!F307,ROUND(('R9'!P14/'W9'!$E$5*'W9'!$E$9*(IF('R9'!$D42='W9'!$A$47,'W9'!F$47,IF('R9'!$D42='W9'!$A$48,'W9'!F$48,IF('R9'!$D42='W9'!$A$49,'W9'!F$49,IF('R9'!$D42='W9'!$A$50,'W9'!F$50,IF('R9'!$D42='W9'!$A$51,'W9'!F$51,IF('R9'!$D42='W9'!$A$52,'W9'!F$52,IF('R9'!$D42='W9'!$A$53,'W9'!F$53,IF('R9'!$D42='W9'!$A$54,'W9'!F$54,IF('R9'!$D42='W9'!$A$55,'W9'!F$55))))))))))),0)+ROUND(P14/'W9'!$E$5*'W9'!$E$10*(IF('R9'!$D42='W9'!$A$47,'W9'!G$47,IF('R9'!$D42='W9'!$A$48,'W9'!G$48,IF('R9'!$D42='W9'!$A$49,'W9'!G$49,IF('R9'!$D42='W9'!$A$50,'W9'!G$50,IF('R9'!$D42='W9'!$A$51,'W9'!G$51,IF('R9'!$D42='W9'!$A$52,'W9'!G$52,IF('R9'!$D42='W9'!$A$53,'W9'!G$53,IF('R9'!$D42='W9'!$A$54,'W9'!G$54,IF('R9'!$D42='W9'!$A$55,'W9'!G$55)))))))))),0))))))))</f>
        <v>0</v>
      </c>
      <c r="Q42" s="187">
        <f ca="1">IF(Q14=0,0,IF(AND($D42="F-SMRA",Q14=0),0,IF(AND($D42="F-SMRB",Q14=0),0,IF(AND($D42="F-SMRC",Q14=0),0,IF($D42='W9'!$A$68,'W9'!H307,IF($D42='W9'!$A$69,'W9'!H307,IF($D42='W9'!$A$70,'W9'!H307,ROUND(('R9'!Q14/'W9'!$F$5*'W9'!$F$9*(IF('R9'!$D42='W9'!$A$47,'W9'!H$47,IF('R9'!$D42='W9'!$A$48,'W9'!H$48,IF('R9'!$D42='W9'!$A$49,'W9'!H$49,IF('R9'!$D42='W9'!$A$50,'W9'!H$50,IF('R9'!$D42='W9'!$A$51,'W9'!H$51,IF('R9'!$D42='W9'!$A$52,'W9'!H$52,IF('R9'!$D42='W9'!$A$53,'W9'!H$53,IF('R9'!$D42='W9'!$A$54,'W9'!H$54,IF('R9'!$D42='W9'!$A$55,'W9'!H$55))))))))))),0)+ROUND(Q14/'W9'!$F$5*'W9'!$F$10*(IF('R9'!$D42='W9'!$A$47,'W9'!I$47,IF('R9'!$D42='W9'!$A$48,'W9'!I$48,IF('R9'!$D42='W9'!$A$49,'W9'!I$49,IF('R9'!$D42='W9'!$A$50,'W9'!I$50,IF('R9'!$D42='W9'!$A$51,'W9'!I$51,IF('R9'!$D42='W9'!$A$52,'W9'!I$52,IF('R9'!$D42='W9'!$A$53,'W9'!I$53,IF('R9'!$D42='W9'!$A$54,'W9'!I$54,IF('R9'!$D42='W9'!$A$55,'W9'!I$55)))))))))),0))))))))</f>
        <v>0</v>
      </c>
      <c r="R42" s="187">
        <f ca="1">IF(R14=0,0,IF(AND($D42="F-SMRA",R14=0),0,IF(AND($D42="F-SMRB",R14=0),0,IF(AND($D42="F-SMRC",R14=0),0,IF($D42='W9'!$A$68,'W9'!J307,IF($D42='W9'!$A$69,'W9'!J307,IF($D42='W9'!$A$70,'W9'!J307,ROUND(('R9'!R14/'W9'!$G$5*'W9'!$G$9*(IF('R9'!$D42='W9'!$A$47,'W9'!J$47,IF('R9'!$D42='W9'!$A$48,'W9'!J$48,IF('R9'!$D42='W9'!$A$49,'W9'!J$49,IF('R9'!$D42='W9'!$A$50,'W9'!J$50,IF('R9'!$D42='W9'!$A$51,'W9'!J$51,IF('R9'!$D42='W9'!$A$52,'W9'!J$52,IF('R9'!$D42='W9'!$A$53,'W9'!J$53,IF('R9'!$D42='W9'!$A$54,'W9'!J$54,IF('R9'!$D42='W9'!$A$55,'W9'!J$55))))))))))),0)+ROUND(R14/'W9'!$G$5*'W9'!$G$10*(IF('R9'!$D42='W9'!$A$47,'W9'!K$47,IF('R9'!$D42='W9'!$A$48,'W9'!K$48,IF('R9'!$D42='W9'!$A$49,'W9'!K$49,IF('R9'!$D42='W9'!$A$50,'W9'!K$50,IF('R9'!$D42='W9'!$A$51,'W9'!K$51,IF('R9'!$D42='W9'!$A$52,'W9'!K$52,IF('R9'!$D42='W9'!$A$53,'W9'!K$53,IF('R9'!$D42='W9'!$A$54,'W9'!K$54,IF('R9'!$D42='W9'!$A$55,'W9'!K$55)))))))))),0))))))))</f>
        <v>0</v>
      </c>
      <c r="S42" s="187">
        <f t="shared" ca="1" si="3"/>
        <v>0</v>
      </c>
      <c r="T42" s="248"/>
      <c r="U42" s="248"/>
      <c r="V42" s="248"/>
      <c r="W42" s="248"/>
      <c r="X42" s="248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x14ac:dyDescent="0.2">
      <c r="A43" s="92">
        <v>8</v>
      </c>
      <c r="B43" s="381">
        <f t="shared" si="2"/>
        <v>0</v>
      </c>
      <c r="C43" s="382"/>
      <c r="D43" s="199" t="s">
        <v>52</v>
      </c>
      <c r="E43" s="265" t="str">
        <f>IF($D43='W9'!$A$59,'W9'!B$59,IF($D43='W9'!$A$60,'W9'!B$60,IF($D43='W9'!$A$61,'W9'!B$61,IF($D43='W9'!$A$62,'W9'!B$62,IF($D43='W9'!$A$63,'W9'!B$63,IF($D43='W9'!$A$64,'W9'!B$64,IF($D43='W9'!$A$65,'W9'!B$65,IF($D43='W9'!$A$66,'W9'!B$66,IF($D43='W9'!$A$67,'W9'!B$67,IF($D43='W9'!$A$68,'W9'!B282,IF($D43='W9'!$A$69,'W9'!B282,IF($D43='W9'!$A$70,'W9'!B282,IF($D43='W9'!$A$71,"")))))))))))))</f>
        <v/>
      </c>
      <c r="F43" s="378" t="str">
        <f>IF($D43='W9'!$A$59,'W9'!C$59,IF($D43='W9'!$A$60,'W9'!C$60,IF($D43='W9'!$A$61,'W9'!C$61,IF($D43='W9'!$A$62,'W9'!C$62,IF($D43='W9'!$A$63,'W9'!C$63,IF($D43='W9'!$A$64,'W9'!C$64,IF($D43='W9'!$A$65,'W9'!C$65,IF($D43='W9'!$A$66,'W9'!C$66,IF($D43='W9'!$A$67,'W9'!C$67,IF($D43='W9'!$A$68,'W9'!D282,IF($D43='W9'!$A$69,'W9'!D282,IF($D43='W9'!$A$70,'W9'!D282,IF($D43='W9'!$A$71,"")))))))))))))</f>
        <v/>
      </c>
      <c r="G43" s="379"/>
      <c r="H43" s="366" t="str">
        <f>IF($D43='W9'!$A$59,'W9'!D$59,IF($D43='W9'!$A$60,'W9'!D$60,IF($D43='W9'!$A$61,'W9'!D$61,IF($D43='W9'!$A$62,'W9'!D$62,IF($D43='W9'!$A$63,'W9'!D$63,IF($D43='W9'!$A$64,'W9'!D$64,IF($D43='W9'!$A$65,'W9'!D$65,IF($D43='W9'!$A$66,'W9'!D$66,IF($D43='W9'!$A$67,'W9'!D$67,IF($D43='W9'!$A$68,'W9'!F282,IF($D43='W9'!$A$69,'W9'!F282,IF($D43='W9'!$A$70,'W9'!F282,IF($D43='W9'!$A$71,"")))))))))))))</f>
        <v/>
      </c>
      <c r="I43" s="367"/>
      <c r="J43" s="366" t="str">
        <f>IF($D43='W9'!$A$59,'W9'!E$59,IF($D43='W9'!$A$60,'W9'!E$60,IF($D43='W9'!$A$61,'W9'!E$61,IF($D43='W9'!$A$62,'W9'!E$62,IF($D43='W9'!$A$63,'W9'!E$63,IF($D43='W9'!$A$64,'W9'!E$64,IF($D43='W9'!$A$65,'W9'!E$65,IF($D43='W9'!$A$66,'W9'!E$66,IF($D43='W9'!$A$67,'W9'!E$67,IF($D43='W9'!$A$68,'W9'!H282,IF($D43='W9'!$A$69,'W9'!H282,IF($D43='W9'!$A$70,'W9'!H282,IF($D43='W9'!$A$71,"")))))))))))))</f>
        <v/>
      </c>
      <c r="K43" s="367"/>
      <c r="L43" s="366" t="str">
        <f>IF($D43='W9'!$A$59,'W9'!F$59,IF($D43='W9'!$A$60,'W9'!F$60,IF($D43='W9'!$A$61,'W9'!F$61,IF($D43='W9'!$A$62,'W9'!F$62,IF($D43='W9'!$A$63,'W9'!F$63,IF($D43='W9'!$A$64,'W9'!F$64,IF($D43='W9'!$A$65,'W9'!F$65,IF($D43='W9'!$A$66,'W9'!F$66,IF($D43='W9'!$A$67,'W9'!F$67,IF($D43='W9'!$A$68,'W9'!J282,IF($D43='W9'!$A$69,'W9'!J282,IF($D43='W9'!$A$70,'W9'!J282,IF($D43='W9'!$A$71,"")))))))))))))</f>
        <v/>
      </c>
      <c r="M43" s="367"/>
      <c r="N43" s="187">
        <f ca="1">IF(N15=0,0,IF(AND($D43="F-SMRA",N15=0),0,IF(AND($D43="F-SMRB",N15=0),0,IF(AND($D43="F-SMRC",N15=0),0,IF($D43='W9'!$A$68,'W9'!B308,IF($D43='W9'!$A$69,'W9'!B308,IF($D43='W9'!$A$70,'W9'!B308,ROUND(('R9'!N15/'W9'!$C$5*'W9'!$C$9*(IF('R9'!$D43='W9'!$A$47,'W9'!B$47,IF('R9'!$D43='W9'!$A$48,'W9'!B$48,IF('R9'!$D43='W9'!$A$49,'W9'!B$49,IF('R9'!$D43='W9'!$A$50,'W9'!B$50,IF('R9'!$D43='W9'!$A$51,'W9'!B$51,IF('R9'!$D43='W9'!$A$52,'W9'!B$52,IF('R9'!$D43='W9'!$A$53,'W9'!B$53,IF('R9'!$D43='W9'!$A$54,'W9'!B$54,IF('R9'!$D43='W9'!$A$55,'W9'!B$55))))))))))),0)+ROUND(N15/'W9'!$C$5*'W9'!$C$10*(IF('R9'!$D43='W9'!$A$47,'W9'!C$47,IF('R9'!$D43='W9'!$A$48,'W9'!C$48,IF('R9'!$D43='W9'!$A$49,'W9'!C$49,IF('R9'!$D43='W9'!$A$50,'W9'!C$50,IF('R9'!$D43='W9'!$A$51,'W9'!C$51,IF('R9'!$D43='W9'!$A$52,'W9'!C$52,IF('R9'!$D43='W9'!$A$53,'W9'!C$53,IF('R9'!$D43='W9'!$A$54,'W9'!C$54,IF('R9'!$D43='W9'!$A$55,'W9'!C$55)))))))))),0))))))))</f>
        <v>0</v>
      </c>
      <c r="O43" s="187">
        <f ca="1">IF(O15=0,0,IF(AND($D43="F-SMRA",O15=0),0,IF(AND($D43="F-SMRB",O15=0),0,IF(AND($D43="F-SMRC",O15=0),0,IF($D43='W9'!$A$68,'W9'!D308,IF($D43='W9'!$A$69,'W9'!D308,IF($D43='W9'!$A$70,'W9'!D308,ROUND(('R9'!O15/'W9'!$D$5*'W9'!$D$9*(IF('R9'!$D43='W9'!$A$47,'W9'!D$47,IF('R9'!$D43='W9'!$A$48,'W9'!D$48,IF('R9'!$D43='W9'!$A$49,'W9'!D$49,IF('R9'!$D43='W9'!$A$50,'W9'!D$50,IF('R9'!$D43='W9'!$A$51,'W9'!D$51,IF('R9'!$D43='W9'!$A$52,'W9'!D$52,IF('R9'!$D43='W9'!$A$53,'W9'!D$53,IF('R9'!$D43='W9'!$A$54,'W9'!D$54,IF('R9'!$D43='W9'!$A$55,'W9'!D$55))))))))))),0)+ROUND(O15/'W9'!$D$5*'W9'!$D$10*(IF('R9'!$D43='W9'!$A$47,'W9'!E$47,IF('R9'!$D43='W9'!$A$48,'W9'!E$48,IF('R9'!$D43='W9'!$A$49,'W9'!E$49,IF('R9'!$D43='W9'!$A$50,'W9'!E$50,IF('R9'!$D43='W9'!$A$51,'W9'!E$51,IF('R9'!$D43='W9'!$A$52,'W9'!E$52,IF('R9'!$D43='W9'!$A$53,'W9'!E$53,IF('R9'!$D43='W9'!$A$54,'W9'!E$54,IF('R9'!$D43='W9'!$A$55,'W9'!E$55)))))))))),0))))))))</f>
        <v>0</v>
      </c>
      <c r="P43" s="187">
        <f ca="1">IF(P15=0,0,IF(AND($D43="F-SMRA",P15=0),0,IF(AND($D43="F-SMRB",P15=0),0,IF(AND($D43="F-SMRC",P15=0),0,IF($D43='W9'!$A$68,'W9'!F308,IF($D43='W9'!$A$69,'W9'!F308,IF($D43='W9'!$A$70,'W9'!F308,ROUND(('R9'!P15/'W9'!$E$5*'W9'!$E$9*(IF('R9'!$D43='W9'!$A$47,'W9'!F$47,IF('R9'!$D43='W9'!$A$48,'W9'!F$48,IF('R9'!$D43='W9'!$A$49,'W9'!F$49,IF('R9'!$D43='W9'!$A$50,'W9'!F$50,IF('R9'!$D43='W9'!$A$51,'W9'!F$51,IF('R9'!$D43='W9'!$A$52,'W9'!F$52,IF('R9'!$D43='W9'!$A$53,'W9'!F$53,IF('R9'!$D43='W9'!$A$54,'W9'!F$54,IF('R9'!$D43='W9'!$A$55,'W9'!F$55))))))))))),0)+ROUND(P15/'W9'!$E$5*'W9'!$E$10*(IF('R9'!$D43='W9'!$A$47,'W9'!G$47,IF('R9'!$D43='W9'!$A$48,'W9'!G$48,IF('R9'!$D43='W9'!$A$49,'W9'!G$49,IF('R9'!$D43='W9'!$A$50,'W9'!G$50,IF('R9'!$D43='W9'!$A$51,'W9'!G$51,IF('R9'!$D43='W9'!$A$52,'W9'!G$52,IF('R9'!$D43='W9'!$A$53,'W9'!G$53,IF('R9'!$D43='W9'!$A$54,'W9'!G$54,IF('R9'!$D43='W9'!$A$55,'W9'!G$55)))))))))),0))))))))</f>
        <v>0</v>
      </c>
      <c r="Q43" s="187">
        <f ca="1">IF(Q15=0,0,IF(AND($D43="F-SMRA",Q15=0),0,IF(AND($D43="F-SMRB",Q15=0),0,IF(AND($D43="F-SMRC",Q15=0),0,IF($D43='W9'!$A$68,'W9'!H308,IF($D43='W9'!$A$69,'W9'!H308,IF($D43='W9'!$A$70,'W9'!H308,ROUND(('R9'!Q15/'W9'!$F$5*'W9'!$F$9*(IF('R9'!$D43='W9'!$A$47,'W9'!H$47,IF('R9'!$D43='W9'!$A$48,'W9'!H$48,IF('R9'!$D43='W9'!$A$49,'W9'!H$49,IF('R9'!$D43='W9'!$A$50,'W9'!H$50,IF('R9'!$D43='W9'!$A$51,'W9'!H$51,IF('R9'!$D43='W9'!$A$52,'W9'!H$52,IF('R9'!$D43='W9'!$A$53,'W9'!H$53,IF('R9'!$D43='W9'!$A$54,'W9'!H$54,IF('R9'!$D43='W9'!$A$55,'W9'!H$55))))))))))),0)+ROUND(Q15/'W9'!$F$5*'W9'!$F$10*(IF('R9'!$D43='W9'!$A$47,'W9'!I$47,IF('R9'!$D43='W9'!$A$48,'W9'!I$48,IF('R9'!$D43='W9'!$A$49,'W9'!I$49,IF('R9'!$D43='W9'!$A$50,'W9'!I$50,IF('R9'!$D43='W9'!$A$51,'W9'!I$51,IF('R9'!$D43='W9'!$A$52,'W9'!I$52,IF('R9'!$D43='W9'!$A$53,'W9'!I$53,IF('R9'!$D43='W9'!$A$54,'W9'!I$54,IF('R9'!$D43='W9'!$A$55,'W9'!I$55)))))))))),0))))))))</f>
        <v>0</v>
      </c>
      <c r="R43" s="187">
        <f ca="1">IF(R15=0,0,IF(AND($D43="F-SMRA",R15=0),0,IF(AND($D43="F-SMRB",R15=0),0,IF(AND($D43="F-SMRC",R15=0),0,IF($D43='W9'!$A$68,'W9'!J308,IF($D43='W9'!$A$69,'W9'!J308,IF($D43='W9'!$A$70,'W9'!J308,ROUND(('R9'!R15/'W9'!$G$5*'W9'!$G$9*(IF('R9'!$D43='W9'!$A$47,'W9'!J$47,IF('R9'!$D43='W9'!$A$48,'W9'!J$48,IF('R9'!$D43='W9'!$A$49,'W9'!J$49,IF('R9'!$D43='W9'!$A$50,'W9'!J$50,IF('R9'!$D43='W9'!$A$51,'W9'!J$51,IF('R9'!$D43='W9'!$A$52,'W9'!J$52,IF('R9'!$D43='W9'!$A$53,'W9'!J$53,IF('R9'!$D43='W9'!$A$54,'W9'!J$54,IF('R9'!$D43='W9'!$A$55,'W9'!J$55))))))))))),0)+ROUND(R15/'W9'!$G$5*'W9'!$G$10*(IF('R9'!$D43='W9'!$A$47,'W9'!K$47,IF('R9'!$D43='W9'!$A$48,'W9'!K$48,IF('R9'!$D43='W9'!$A$49,'W9'!K$49,IF('R9'!$D43='W9'!$A$50,'W9'!K$50,IF('R9'!$D43='W9'!$A$51,'W9'!K$51,IF('R9'!$D43='W9'!$A$52,'W9'!K$52,IF('R9'!$D43='W9'!$A$53,'W9'!K$53,IF('R9'!$D43='W9'!$A$54,'W9'!K$54,IF('R9'!$D43='W9'!$A$55,'W9'!K$55)))))))))),0))))))))</f>
        <v>0</v>
      </c>
      <c r="S43" s="187">
        <f t="shared" ca="1" si="3"/>
        <v>0</v>
      </c>
      <c r="T43" s="248"/>
      <c r="U43" s="248"/>
      <c r="V43" s="248"/>
      <c r="W43" s="248"/>
      <c r="X43" s="248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x14ac:dyDescent="0.2">
      <c r="A44" s="92">
        <v>9</v>
      </c>
      <c r="B44" s="381">
        <f t="shared" si="2"/>
        <v>0</v>
      </c>
      <c r="C44" s="382"/>
      <c r="D44" s="199" t="s">
        <v>52</v>
      </c>
      <c r="E44" s="265" t="str">
        <f>IF($D44='W9'!$A$59,'W9'!B$59,IF($D44='W9'!$A$60,'W9'!B$60,IF($D44='W9'!$A$61,'W9'!B$61,IF($D44='W9'!$A$62,'W9'!B$62,IF($D44='W9'!$A$63,'W9'!B$63,IF($D44='W9'!$A$64,'W9'!B$64,IF($D44='W9'!$A$65,'W9'!B$65,IF($D44='W9'!$A$66,'W9'!B$66,IF($D44='W9'!$A$67,'W9'!B$67,IF($D44='W9'!$A$68,'W9'!B283,IF($D44='W9'!$A$69,'W9'!B283,IF($D44='W9'!$A$70,'W9'!B283,IF($D44='W9'!$A$71,"")))))))))))))</f>
        <v/>
      </c>
      <c r="F44" s="378" t="str">
        <f>IF($D44='W9'!$A$59,'W9'!C$59,IF($D44='W9'!$A$60,'W9'!C$60,IF($D44='W9'!$A$61,'W9'!C$61,IF($D44='W9'!$A$62,'W9'!C$62,IF($D44='W9'!$A$63,'W9'!C$63,IF($D44='W9'!$A$64,'W9'!C$64,IF($D44='W9'!$A$65,'W9'!C$65,IF($D44='W9'!$A$66,'W9'!C$66,IF($D44='W9'!$A$67,'W9'!C$67,IF($D44='W9'!$A$68,'W9'!D283,IF($D44='W9'!$A$69,'W9'!D283,IF($D44='W9'!$A$70,'W9'!D283,IF($D44='W9'!$A$71,"")))))))))))))</f>
        <v/>
      </c>
      <c r="G44" s="379"/>
      <c r="H44" s="366" t="str">
        <f>IF($D44='W9'!$A$59,'W9'!D$59,IF($D44='W9'!$A$60,'W9'!D$60,IF($D44='W9'!$A$61,'W9'!D$61,IF($D44='W9'!$A$62,'W9'!D$62,IF($D44='W9'!$A$63,'W9'!D$63,IF($D44='W9'!$A$64,'W9'!D$64,IF($D44='W9'!$A$65,'W9'!D$65,IF($D44='W9'!$A$66,'W9'!D$66,IF($D44='W9'!$A$67,'W9'!D$67,IF($D44='W9'!$A$68,'W9'!F283,IF($D44='W9'!$A$69,'W9'!F283,IF($D44='W9'!$A$70,'W9'!F283,IF($D44='W9'!$A$71,"")))))))))))))</f>
        <v/>
      </c>
      <c r="I44" s="367"/>
      <c r="J44" s="366" t="str">
        <f>IF($D44='W9'!$A$59,'W9'!E$59,IF($D44='W9'!$A$60,'W9'!E$60,IF($D44='W9'!$A$61,'W9'!E$61,IF($D44='W9'!$A$62,'W9'!E$62,IF($D44='W9'!$A$63,'W9'!E$63,IF($D44='W9'!$A$64,'W9'!E$64,IF($D44='W9'!$A$65,'W9'!E$65,IF($D44='W9'!$A$66,'W9'!E$66,IF($D44='W9'!$A$67,'W9'!E$67,IF($D44='W9'!$A$68,'W9'!H283,IF($D44='W9'!$A$69,'W9'!H283,IF($D44='W9'!$A$70,'W9'!H283,IF($D44='W9'!$A$71,"")))))))))))))</f>
        <v/>
      </c>
      <c r="K44" s="367"/>
      <c r="L44" s="366" t="str">
        <f>IF($D44='W9'!$A$59,'W9'!F$59,IF($D44='W9'!$A$60,'W9'!F$60,IF($D44='W9'!$A$61,'W9'!F$61,IF($D44='W9'!$A$62,'W9'!F$62,IF($D44='W9'!$A$63,'W9'!F$63,IF($D44='W9'!$A$64,'W9'!F$64,IF($D44='W9'!$A$65,'W9'!F$65,IF($D44='W9'!$A$66,'W9'!F$66,IF($D44='W9'!$A$67,'W9'!F$67,IF($D44='W9'!$A$68,'W9'!J283,IF($D44='W9'!$A$69,'W9'!J283,IF($D44='W9'!$A$70,'W9'!J283,IF($D44='W9'!$A$71,"")))))))))))))</f>
        <v/>
      </c>
      <c r="M44" s="367"/>
      <c r="N44" s="187">
        <f ca="1">IF(N16=0,0,IF(AND($D44="F-SMRA",N16=0),0,IF(AND($D44="F-SMRB",N16=0),0,IF(AND($D44="F-SMRC",N16=0),0,IF($D44='W9'!$A$68,'W9'!B309,IF($D44='W9'!$A$69,'W9'!B309,IF($D44='W9'!$A$70,'W9'!B309,ROUND(('R9'!N16/'W9'!$C$5*'W9'!$C$9*(IF('R9'!$D44='W9'!$A$47,'W9'!B$47,IF('R9'!$D44='W9'!$A$48,'W9'!B$48,IF('R9'!$D44='W9'!$A$49,'W9'!B$49,IF('R9'!$D44='W9'!$A$50,'W9'!B$50,IF('R9'!$D44='W9'!$A$51,'W9'!B$51,IF('R9'!$D44='W9'!$A$52,'W9'!B$52,IF('R9'!$D44='W9'!$A$53,'W9'!B$53,IF('R9'!$D44='W9'!$A$54,'W9'!B$54,IF('R9'!$D44='W9'!$A$55,'W9'!B$55))))))))))),0)+ROUND(N16/'W9'!$C$5*'W9'!$C$10*(IF('R9'!$D44='W9'!$A$47,'W9'!C$47,IF('R9'!$D44='W9'!$A$48,'W9'!C$48,IF('R9'!$D44='W9'!$A$49,'W9'!C$49,IF('R9'!$D44='W9'!$A$50,'W9'!C$50,IF('R9'!$D44='W9'!$A$51,'W9'!C$51,IF('R9'!$D44='W9'!$A$52,'W9'!C$52,IF('R9'!$D44='W9'!$A$53,'W9'!C$53,IF('R9'!$D44='W9'!$A$54,'W9'!C$54,IF('R9'!$D44='W9'!$A$55,'W9'!C$55)))))))))),0))))))))</f>
        <v>0</v>
      </c>
      <c r="O44" s="187">
        <f ca="1">IF(O16=0,0,IF(AND($D44="F-SMRA",O16=0),0,IF(AND($D44="F-SMRB",O16=0),0,IF(AND($D44="F-SMRC",O16=0),0,IF($D44='W9'!$A$68,'W9'!D309,IF($D44='W9'!$A$69,'W9'!D309,IF($D44='W9'!$A$70,'W9'!D309,ROUND(('R9'!O16/'W9'!$D$5*'W9'!$D$9*(IF('R9'!$D44='W9'!$A$47,'W9'!D$47,IF('R9'!$D44='W9'!$A$48,'W9'!D$48,IF('R9'!$D44='W9'!$A$49,'W9'!D$49,IF('R9'!$D44='W9'!$A$50,'W9'!D$50,IF('R9'!$D44='W9'!$A$51,'W9'!D$51,IF('R9'!$D44='W9'!$A$52,'W9'!D$52,IF('R9'!$D44='W9'!$A$53,'W9'!D$53,IF('R9'!$D44='W9'!$A$54,'W9'!D$54,IF('R9'!$D44='W9'!$A$55,'W9'!D$55))))))))))),0)+ROUND(O16/'W9'!$D$5*'W9'!$D$10*(IF('R9'!$D44='W9'!$A$47,'W9'!E$47,IF('R9'!$D44='W9'!$A$48,'W9'!E$48,IF('R9'!$D44='W9'!$A$49,'W9'!E$49,IF('R9'!$D44='W9'!$A$50,'W9'!E$50,IF('R9'!$D44='W9'!$A$51,'W9'!E$51,IF('R9'!$D44='W9'!$A$52,'W9'!E$52,IF('R9'!$D44='W9'!$A$53,'W9'!E$53,IF('R9'!$D44='W9'!$A$54,'W9'!E$54,IF('R9'!$D44='W9'!$A$55,'W9'!E$55)))))))))),0))))))))</f>
        <v>0</v>
      </c>
      <c r="P44" s="187">
        <f ca="1">IF(P16=0,0,IF(AND($D44="F-SMRA",P16=0),0,IF(AND($D44="F-SMRB",P16=0),0,IF(AND($D44="F-SMRC",P16=0),0,IF($D44='W9'!$A$68,'W9'!F309,IF($D44='W9'!$A$69,'W9'!F309,IF($D44='W9'!$A$70,'W9'!F309,ROUND(('R9'!P16/'W9'!$E$5*'W9'!$E$9*(IF('R9'!$D44='W9'!$A$47,'W9'!F$47,IF('R9'!$D44='W9'!$A$48,'W9'!F$48,IF('R9'!$D44='W9'!$A$49,'W9'!F$49,IF('R9'!$D44='W9'!$A$50,'W9'!F$50,IF('R9'!$D44='W9'!$A$51,'W9'!F$51,IF('R9'!$D44='W9'!$A$52,'W9'!F$52,IF('R9'!$D44='W9'!$A$53,'W9'!F$53,IF('R9'!$D44='W9'!$A$54,'W9'!F$54,IF('R9'!$D44='W9'!$A$55,'W9'!F$55))))))))))),0)+ROUND(P16/'W9'!$E$5*'W9'!$E$10*(IF('R9'!$D44='W9'!$A$47,'W9'!G$47,IF('R9'!$D44='W9'!$A$48,'W9'!G$48,IF('R9'!$D44='W9'!$A$49,'W9'!G$49,IF('R9'!$D44='W9'!$A$50,'W9'!G$50,IF('R9'!$D44='W9'!$A$51,'W9'!G$51,IF('R9'!$D44='W9'!$A$52,'W9'!G$52,IF('R9'!$D44='W9'!$A$53,'W9'!G$53,IF('R9'!$D44='W9'!$A$54,'W9'!G$54,IF('R9'!$D44='W9'!$A$55,'W9'!G$55)))))))))),0))))))))</f>
        <v>0</v>
      </c>
      <c r="Q44" s="187">
        <f ca="1">IF(Q16=0,0,IF(AND($D44="F-SMRA",Q16=0),0,IF(AND($D44="F-SMRB",Q16=0),0,IF(AND($D44="F-SMRC",Q16=0),0,IF($D44='W9'!$A$68,'W9'!H309,IF($D44='W9'!$A$69,'W9'!H309,IF($D44='W9'!$A$70,'W9'!H309,ROUND(('R9'!Q16/'W9'!$F$5*'W9'!$F$9*(IF('R9'!$D44='W9'!$A$47,'W9'!H$47,IF('R9'!$D44='W9'!$A$48,'W9'!H$48,IF('R9'!$D44='W9'!$A$49,'W9'!H$49,IF('R9'!$D44='W9'!$A$50,'W9'!H$50,IF('R9'!$D44='W9'!$A$51,'W9'!H$51,IF('R9'!$D44='W9'!$A$52,'W9'!H$52,IF('R9'!$D44='W9'!$A$53,'W9'!H$53,IF('R9'!$D44='W9'!$A$54,'W9'!H$54,IF('R9'!$D44='W9'!$A$55,'W9'!H$55))))))))))),0)+ROUND(Q16/'W9'!$F$5*'W9'!$F$10*(IF('R9'!$D44='W9'!$A$47,'W9'!I$47,IF('R9'!$D44='W9'!$A$48,'W9'!I$48,IF('R9'!$D44='W9'!$A$49,'W9'!I$49,IF('R9'!$D44='W9'!$A$50,'W9'!I$50,IF('R9'!$D44='W9'!$A$51,'W9'!I$51,IF('R9'!$D44='W9'!$A$52,'W9'!I$52,IF('R9'!$D44='W9'!$A$53,'W9'!I$53,IF('R9'!$D44='W9'!$A$54,'W9'!I$54,IF('R9'!$D44='W9'!$A$55,'W9'!I$55)))))))))),0))))))))</f>
        <v>0</v>
      </c>
      <c r="R44" s="187">
        <f ca="1">IF(R16=0,0,IF(AND($D44="F-SMRA",R16=0),0,IF(AND($D44="F-SMRB",R16=0),0,IF(AND($D44="F-SMRC",R16=0),0,IF($D44='W9'!$A$68,'W9'!J309,IF($D44='W9'!$A$69,'W9'!J309,IF($D44='W9'!$A$70,'W9'!J309,ROUND(('R9'!R16/'W9'!$G$5*'W9'!$G$9*(IF('R9'!$D44='W9'!$A$47,'W9'!J$47,IF('R9'!$D44='W9'!$A$48,'W9'!J$48,IF('R9'!$D44='W9'!$A$49,'W9'!J$49,IF('R9'!$D44='W9'!$A$50,'W9'!J$50,IF('R9'!$D44='W9'!$A$51,'W9'!J$51,IF('R9'!$D44='W9'!$A$52,'W9'!J$52,IF('R9'!$D44='W9'!$A$53,'W9'!J$53,IF('R9'!$D44='W9'!$A$54,'W9'!J$54,IF('R9'!$D44='W9'!$A$55,'W9'!J$55))))))))))),0)+ROUND(R16/'W9'!$G$5*'W9'!$G$10*(IF('R9'!$D44='W9'!$A$47,'W9'!K$47,IF('R9'!$D44='W9'!$A$48,'W9'!K$48,IF('R9'!$D44='W9'!$A$49,'W9'!K$49,IF('R9'!$D44='W9'!$A$50,'W9'!K$50,IF('R9'!$D44='W9'!$A$51,'W9'!K$51,IF('R9'!$D44='W9'!$A$52,'W9'!K$52,IF('R9'!$D44='W9'!$A$53,'W9'!K$53,IF('R9'!$D44='W9'!$A$54,'W9'!K$54,IF('R9'!$D44='W9'!$A$55,'W9'!K$55)))))))))),0))))))))</f>
        <v>0</v>
      </c>
      <c r="S44" s="187">
        <f t="shared" ca="1" si="3"/>
        <v>0</v>
      </c>
      <c r="T44" s="248"/>
      <c r="U44" s="248"/>
      <c r="V44" s="248"/>
      <c r="W44" s="248"/>
      <c r="X44" s="248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x14ac:dyDescent="0.2">
      <c r="A45" s="92">
        <v>10</v>
      </c>
      <c r="B45" s="381">
        <f t="shared" si="2"/>
        <v>0</v>
      </c>
      <c r="C45" s="382"/>
      <c r="D45" s="199" t="s">
        <v>52</v>
      </c>
      <c r="E45" s="265" t="str">
        <f>IF($D45='W9'!$A$59,'W9'!B$59,IF($D45='W9'!$A$60,'W9'!B$60,IF($D45='W9'!$A$61,'W9'!B$61,IF($D45='W9'!$A$62,'W9'!B$62,IF($D45='W9'!$A$63,'W9'!B$63,IF($D45='W9'!$A$64,'W9'!B$64,IF($D45='W9'!$A$65,'W9'!B$65,IF($D45='W9'!$A$66,'W9'!B$66,IF($D45='W9'!$A$67,'W9'!B$67,IF($D45='W9'!$A$68,'W9'!B284,IF($D45='W9'!$A$69,'W9'!B284,IF($D45='W9'!$A$70,'W9'!B284,IF($D45='W9'!$A$71,"")))))))))))))</f>
        <v/>
      </c>
      <c r="F45" s="378" t="str">
        <f>IF($D45='W9'!$A$59,'W9'!C$59,IF($D45='W9'!$A$60,'W9'!C$60,IF($D45='W9'!$A$61,'W9'!C$61,IF($D45='W9'!$A$62,'W9'!C$62,IF($D45='W9'!$A$63,'W9'!C$63,IF($D45='W9'!$A$64,'W9'!C$64,IF($D45='W9'!$A$65,'W9'!C$65,IF($D45='W9'!$A$66,'W9'!C$66,IF($D45='W9'!$A$67,'W9'!C$67,IF($D45='W9'!$A$68,'W9'!D284,IF($D45='W9'!$A$69,'W9'!D284,IF($D45='W9'!$A$70,'W9'!D284,IF($D45='W9'!$A$71,"")))))))))))))</f>
        <v/>
      </c>
      <c r="G45" s="379"/>
      <c r="H45" s="366" t="str">
        <f>IF($D45='W9'!$A$59,'W9'!D$59,IF($D45='W9'!$A$60,'W9'!D$60,IF($D45='W9'!$A$61,'W9'!D$61,IF($D45='W9'!$A$62,'W9'!D$62,IF($D45='W9'!$A$63,'W9'!D$63,IF($D45='W9'!$A$64,'W9'!D$64,IF($D45='W9'!$A$65,'W9'!D$65,IF($D45='W9'!$A$66,'W9'!D$66,IF($D45='W9'!$A$67,'W9'!D$67,IF($D45='W9'!$A$68,'W9'!F284,IF($D45='W9'!$A$69,'W9'!F284,IF($D45='W9'!$A$70,'W9'!F284,IF($D45='W9'!$A$71,"")))))))))))))</f>
        <v/>
      </c>
      <c r="I45" s="367"/>
      <c r="J45" s="366" t="str">
        <f>IF($D45='W9'!$A$59,'W9'!E$59,IF($D45='W9'!$A$60,'W9'!E$60,IF($D45='W9'!$A$61,'W9'!E$61,IF($D45='W9'!$A$62,'W9'!E$62,IF($D45='W9'!$A$63,'W9'!E$63,IF($D45='W9'!$A$64,'W9'!E$64,IF($D45='W9'!$A$65,'W9'!E$65,IF($D45='W9'!$A$66,'W9'!E$66,IF($D45='W9'!$A$67,'W9'!E$67,IF($D45='W9'!$A$68,'W9'!H284,IF($D45='W9'!$A$69,'W9'!H284,IF($D45='W9'!$A$70,'W9'!H284,IF($D45='W9'!$A$71,"")))))))))))))</f>
        <v/>
      </c>
      <c r="K45" s="367"/>
      <c r="L45" s="366" t="str">
        <f>IF($D45='W9'!$A$59,'W9'!F$59,IF($D45='W9'!$A$60,'W9'!F$60,IF($D45='W9'!$A$61,'W9'!F$61,IF($D45='W9'!$A$62,'W9'!F$62,IF($D45='W9'!$A$63,'W9'!F$63,IF($D45='W9'!$A$64,'W9'!F$64,IF($D45='W9'!$A$65,'W9'!F$65,IF($D45='W9'!$A$66,'W9'!F$66,IF($D45='W9'!$A$67,'W9'!F$67,IF($D45='W9'!$A$68,'W9'!J284,IF($D45='W9'!$A$69,'W9'!J284,IF($D45='W9'!$A$70,'W9'!J284,IF($D45='W9'!$A$71,"")))))))))))))</f>
        <v/>
      </c>
      <c r="M45" s="367"/>
      <c r="N45" s="187">
        <f ca="1">IF(N17=0,0,IF(AND($D45="F-SMRA",N17=0),0,IF(AND($D45="F-SMRB",N17=0),0,IF(AND($D45="F-SMRC",N17=0),0,IF($D45='W9'!$A$68,'W9'!B310,IF($D45='W9'!$A$69,'W9'!B310,IF($D45='W9'!$A$70,'W9'!B310,ROUND(('R9'!N17/'W9'!$C$5*'W9'!$C$9*(IF('R9'!$D45='W9'!$A$47,'W9'!B$47,IF('R9'!$D45='W9'!$A$48,'W9'!B$48,IF('R9'!$D45='W9'!$A$49,'W9'!B$49,IF('R9'!$D45='W9'!$A$50,'W9'!B$50,IF('R9'!$D45='W9'!$A$51,'W9'!B$51,IF('R9'!$D45='W9'!$A$52,'W9'!B$52,IF('R9'!$D45='W9'!$A$53,'W9'!B$53,IF('R9'!$D45='W9'!$A$54,'W9'!B$54,IF('R9'!$D45='W9'!$A$55,'W9'!B$55))))))))))),0)+ROUND(N17/'W9'!$C$5*'W9'!$C$10*(IF('R9'!$D45='W9'!$A$47,'W9'!C$47,IF('R9'!$D45='W9'!$A$48,'W9'!C$48,IF('R9'!$D45='W9'!$A$49,'W9'!C$49,IF('R9'!$D45='W9'!$A$50,'W9'!C$50,IF('R9'!$D45='W9'!$A$51,'W9'!C$51,IF('R9'!$D45='W9'!$A$52,'W9'!C$52,IF('R9'!$D45='W9'!$A$53,'W9'!C$53,IF('R9'!$D45='W9'!$A$54,'W9'!C$54,IF('R9'!$D45='W9'!$A$55,'W9'!C$55)))))))))),0))))))))</f>
        <v>0</v>
      </c>
      <c r="O45" s="187">
        <f ca="1">IF(O17=0,0,IF(AND($D45="F-SMRA",O17=0),0,IF(AND($D45="F-SMRB",O17=0),0,IF(AND($D45="F-SMRC",O17=0),0,IF($D45='W9'!$A$68,'W9'!D310,IF($D45='W9'!$A$69,'W9'!D310,IF($D45='W9'!$A$70,'W9'!D310,ROUND(('R9'!O17/'W9'!$D$5*'W9'!$D$9*(IF('R9'!$D45='W9'!$A$47,'W9'!D$47,IF('R9'!$D45='W9'!$A$48,'W9'!D$48,IF('R9'!$D45='W9'!$A$49,'W9'!D$49,IF('R9'!$D45='W9'!$A$50,'W9'!D$50,IF('R9'!$D45='W9'!$A$51,'W9'!D$51,IF('R9'!$D45='W9'!$A$52,'W9'!D$52,IF('R9'!$D45='W9'!$A$53,'W9'!D$53,IF('R9'!$D45='W9'!$A$54,'W9'!D$54,IF('R9'!$D45='W9'!$A$55,'W9'!D$55))))))))))),0)+ROUND(O17/'W9'!$D$5*'W9'!$D$10*(IF('R9'!$D45='W9'!$A$47,'W9'!E$47,IF('R9'!$D45='W9'!$A$48,'W9'!E$48,IF('R9'!$D45='W9'!$A$49,'W9'!E$49,IF('R9'!$D45='W9'!$A$50,'W9'!E$50,IF('R9'!$D45='W9'!$A$51,'W9'!E$51,IF('R9'!$D45='W9'!$A$52,'W9'!E$52,IF('R9'!$D45='W9'!$A$53,'W9'!E$53,IF('R9'!$D45='W9'!$A$54,'W9'!E$54,IF('R9'!$D45='W9'!$A$55,'W9'!E$55)))))))))),0))))))))</f>
        <v>0</v>
      </c>
      <c r="P45" s="187">
        <f ca="1">IF(P17=0,0,IF(AND($D45="F-SMRA",P17=0),0,IF(AND($D45="F-SMRB",P17=0),0,IF(AND($D45="F-SMRC",P17=0),0,IF($D45='W9'!$A$68,'W9'!F310,IF($D45='W9'!$A$69,'W9'!F310,IF($D45='W9'!$A$70,'W9'!F310,ROUND(('R9'!P17/'W9'!$E$5*'W9'!$E$9*(IF('R9'!$D45='W9'!$A$47,'W9'!F$47,IF('R9'!$D45='W9'!$A$48,'W9'!F$48,IF('R9'!$D45='W9'!$A$49,'W9'!F$49,IF('R9'!$D45='W9'!$A$50,'W9'!F$50,IF('R9'!$D45='W9'!$A$51,'W9'!F$51,IF('R9'!$D45='W9'!$A$52,'W9'!F$52,IF('R9'!$D45='W9'!$A$53,'W9'!F$53,IF('R9'!$D45='W9'!$A$54,'W9'!F$54,IF('R9'!$D45='W9'!$A$55,'W9'!F$55))))))))))),0)+ROUND(P17/'W9'!$E$5*'W9'!$E$10*(IF('R9'!$D45='W9'!$A$47,'W9'!G$47,IF('R9'!$D45='W9'!$A$48,'W9'!G$48,IF('R9'!$D45='W9'!$A$49,'W9'!G$49,IF('R9'!$D45='W9'!$A$50,'W9'!G$50,IF('R9'!$D45='W9'!$A$51,'W9'!G$51,IF('R9'!$D45='W9'!$A$52,'W9'!G$52,IF('R9'!$D45='W9'!$A$53,'W9'!G$53,IF('R9'!$D45='W9'!$A$54,'W9'!G$54,IF('R9'!$D45='W9'!$A$55,'W9'!G$55)))))))))),0))))))))</f>
        <v>0</v>
      </c>
      <c r="Q45" s="187">
        <f ca="1">IF(Q17=0,0,IF(AND($D45="F-SMRA",Q17=0),0,IF(AND($D45="F-SMRB",Q17=0),0,IF(AND($D45="F-SMRC",Q17=0),0,IF($D45='W9'!$A$68,'W9'!H310,IF($D45='W9'!$A$69,'W9'!H310,IF($D45='W9'!$A$70,'W9'!H310,ROUND(('R9'!Q17/'W9'!$F$5*'W9'!$F$9*(IF('R9'!$D45='W9'!$A$47,'W9'!H$47,IF('R9'!$D45='W9'!$A$48,'W9'!H$48,IF('R9'!$D45='W9'!$A$49,'W9'!H$49,IF('R9'!$D45='W9'!$A$50,'W9'!H$50,IF('R9'!$D45='W9'!$A$51,'W9'!H$51,IF('R9'!$D45='W9'!$A$52,'W9'!H$52,IF('R9'!$D45='W9'!$A$53,'W9'!H$53,IF('R9'!$D45='W9'!$A$54,'W9'!H$54,IF('R9'!$D45='W9'!$A$55,'W9'!H$55))))))))))),0)+ROUND(Q17/'W9'!$F$5*'W9'!$F$10*(IF('R9'!$D45='W9'!$A$47,'W9'!I$47,IF('R9'!$D45='W9'!$A$48,'W9'!I$48,IF('R9'!$D45='W9'!$A$49,'W9'!I$49,IF('R9'!$D45='W9'!$A$50,'W9'!I$50,IF('R9'!$D45='W9'!$A$51,'W9'!I$51,IF('R9'!$D45='W9'!$A$52,'W9'!I$52,IF('R9'!$D45='W9'!$A$53,'W9'!I$53,IF('R9'!$D45='W9'!$A$54,'W9'!I$54,IF('R9'!$D45='W9'!$A$55,'W9'!I$55)))))))))),0))))))))</f>
        <v>0</v>
      </c>
      <c r="R45" s="187">
        <f ca="1">IF(R17=0,0,IF(AND($D45="F-SMRA",R17=0),0,IF(AND($D45="F-SMRB",R17=0),0,IF(AND($D45="F-SMRC",R17=0),0,IF($D45='W9'!$A$68,'W9'!J310,IF($D45='W9'!$A$69,'W9'!J310,IF($D45='W9'!$A$70,'W9'!J310,ROUND(('R9'!R17/'W9'!$G$5*'W9'!$G$9*(IF('R9'!$D45='W9'!$A$47,'W9'!J$47,IF('R9'!$D45='W9'!$A$48,'W9'!J$48,IF('R9'!$D45='W9'!$A$49,'W9'!J$49,IF('R9'!$D45='W9'!$A$50,'W9'!J$50,IF('R9'!$D45='W9'!$A$51,'W9'!J$51,IF('R9'!$D45='W9'!$A$52,'W9'!J$52,IF('R9'!$D45='W9'!$A$53,'W9'!J$53,IF('R9'!$D45='W9'!$A$54,'W9'!J$54,IF('R9'!$D45='W9'!$A$55,'W9'!J$55))))))))))),0)+ROUND(R17/'W9'!$G$5*'W9'!$G$10*(IF('R9'!$D45='W9'!$A$47,'W9'!K$47,IF('R9'!$D45='W9'!$A$48,'W9'!K$48,IF('R9'!$D45='W9'!$A$49,'W9'!K$49,IF('R9'!$D45='W9'!$A$50,'W9'!K$50,IF('R9'!$D45='W9'!$A$51,'W9'!K$51,IF('R9'!$D45='W9'!$A$52,'W9'!K$52,IF('R9'!$D45='W9'!$A$53,'W9'!K$53,IF('R9'!$D45='W9'!$A$54,'W9'!K$54,IF('R9'!$D45='W9'!$A$55,'W9'!K$55)))))))))),0))))))))</f>
        <v>0</v>
      </c>
      <c r="S45" s="187">
        <f t="shared" ca="1" si="3"/>
        <v>0</v>
      </c>
      <c r="T45" s="248"/>
      <c r="U45" s="248"/>
      <c r="V45" s="248"/>
      <c r="W45" s="248"/>
      <c r="X45" s="248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x14ac:dyDescent="0.2">
      <c r="A46" s="92">
        <v>11</v>
      </c>
      <c r="B46" s="381">
        <f t="shared" si="2"/>
        <v>0</v>
      </c>
      <c r="C46" s="382"/>
      <c r="D46" s="199" t="s">
        <v>52</v>
      </c>
      <c r="E46" s="265" t="str">
        <f>IF($D46='W9'!$A$59,'W9'!B$59,IF($D46='W9'!$A$60,'W9'!B$60,IF($D46='W9'!$A$61,'W9'!B$61,IF($D46='W9'!$A$62,'W9'!B$62,IF($D46='W9'!$A$63,'W9'!B$63,IF($D46='W9'!$A$64,'W9'!B$64,IF($D46='W9'!$A$65,'W9'!B$65,IF($D46='W9'!$A$66,'W9'!B$66,IF($D46='W9'!$A$67,'W9'!B$67,IF($D46='W9'!$A$68,'W9'!B285,IF($D46='W9'!$A$69,'W9'!B285,IF($D46='W9'!$A$70,'W9'!B285,IF($D46='W9'!$A$71,"")))))))))))))</f>
        <v/>
      </c>
      <c r="F46" s="378" t="str">
        <f>IF($D46='W9'!$A$59,'W9'!C$59,IF($D46='W9'!$A$60,'W9'!C$60,IF($D46='W9'!$A$61,'W9'!C$61,IF($D46='W9'!$A$62,'W9'!C$62,IF($D46='W9'!$A$63,'W9'!C$63,IF($D46='W9'!$A$64,'W9'!C$64,IF($D46='W9'!$A$65,'W9'!C$65,IF($D46='W9'!$A$66,'W9'!C$66,IF($D46='W9'!$A$67,'W9'!C$67,IF($D46='W9'!$A$68,'W9'!D285,IF($D46='W9'!$A$69,'W9'!D285,IF($D46='W9'!$A$70,'W9'!D285,IF($D46='W9'!$A$71,"")))))))))))))</f>
        <v/>
      </c>
      <c r="G46" s="379"/>
      <c r="H46" s="366" t="str">
        <f>IF($D46='W9'!$A$59,'W9'!D$59,IF($D46='W9'!$A$60,'W9'!D$60,IF($D46='W9'!$A$61,'W9'!D$61,IF($D46='W9'!$A$62,'W9'!D$62,IF($D46='W9'!$A$63,'W9'!D$63,IF($D46='W9'!$A$64,'W9'!D$64,IF($D46='W9'!$A$65,'W9'!D$65,IF($D46='W9'!$A$66,'W9'!D$66,IF($D46='W9'!$A$67,'W9'!D$67,IF($D46='W9'!$A$68,'W9'!F285,IF($D46='W9'!$A$69,'W9'!F285,IF($D46='W9'!$A$70,'W9'!F285,IF($D46='W9'!$A$71,"")))))))))))))</f>
        <v/>
      </c>
      <c r="I46" s="367"/>
      <c r="J46" s="366" t="str">
        <f>IF($D46='W9'!$A$59,'W9'!E$59,IF($D46='W9'!$A$60,'W9'!E$60,IF($D46='W9'!$A$61,'W9'!E$61,IF($D46='W9'!$A$62,'W9'!E$62,IF($D46='W9'!$A$63,'W9'!E$63,IF($D46='W9'!$A$64,'W9'!E$64,IF($D46='W9'!$A$65,'W9'!E$65,IF($D46='W9'!$A$66,'W9'!E$66,IF($D46='W9'!$A$67,'W9'!E$67,IF($D46='W9'!$A$68,'W9'!H285,IF($D46='W9'!$A$69,'W9'!H285,IF($D46='W9'!$A$70,'W9'!H285,IF($D46='W9'!$A$71,"")))))))))))))</f>
        <v/>
      </c>
      <c r="K46" s="367"/>
      <c r="L46" s="366" t="str">
        <f>IF($D46='W9'!$A$59,'W9'!F$59,IF($D46='W9'!$A$60,'W9'!F$60,IF($D46='W9'!$A$61,'W9'!F$61,IF($D46='W9'!$A$62,'W9'!F$62,IF($D46='W9'!$A$63,'W9'!F$63,IF($D46='W9'!$A$64,'W9'!F$64,IF($D46='W9'!$A$65,'W9'!F$65,IF($D46='W9'!$A$66,'W9'!F$66,IF($D46='W9'!$A$67,'W9'!F$67,IF($D46='W9'!$A$68,'W9'!J285,IF($D46='W9'!$A$69,'W9'!J285,IF($D46='W9'!$A$70,'W9'!J285,IF($D46='W9'!$A$71,"")))))))))))))</f>
        <v/>
      </c>
      <c r="M46" s="367"/>
      <c r="N46" s="200">
        <f ca="1">IF(N18=0,0,IF(AND($D46="F-SMRA",N18=0),0,IF(AND($D46="F-SMRB",N18=0),0,IF(AND($D46="F-SMRC",N18=0),0,IF($D46='W9'!$A$68,'W9'!B311,IF($D46='W9'!$A$69,'W9'!B311,IF($D46='W9'!$A$70,'W9'!B311,ROUND(('R9'!N18/'W9'!$C$5*'W9'!$C$9*(IF('R9'!$D46='W9'!$A$47,'W9'!B$47,IF('R9'!$D46='W9'!$A$48,'W9'!B$48,IF('R9'!$D46='W9'!$A$49,'W9'!B$49,IF('R9'!$D46='W9'!$A$50,'W9'!B$50,IF('R9'!$D46='W9'!$A$51,'W9'!B$51,IF('R9'!$D46='W9'!$A$52,'W9'!B$52,IF('R9'!$D46='W9'!$A$53,'W9'!B$53,IF('R9'!$D46='W9'!$A$54,'W9'!B$54,IF('R9'!$D46='W9'!$A$55,'W9'!B$55))))))))))),0)+ROUND(N18/'W9'!$C$5*'W9'!$C$10*(IF('R9'!$D46='W9'!$A$47,'W9'!C$47,IF('R9'!$D46='W9'!$A$48,'W9'!C$48,IF('R9'!$D46='W9'!$A$49,'W9'!C$49,IF('R9'!$D46='W9'!$A$50,'W9'!C$50,IF('R9'!$D46='W9'!$A$51,'W9'!C$51,IF('R9'!$D46='W9'!$A$52,'W9'!C$52,IF('R9'!$D46='W9'!$A$53,'W9'!C$53,IF('R9'!$D46='W9'!$A$54,'W9'!C$54,IF('R9'!$D46='W9'!$A$55,'W9'!C$55)))))))))),0))))))))</f>
        <v>0</v>
      </c>
      <c r="O46" s="187">
        <f ca="1">IF(O18=0,0,IF(AND($D46="F-SMRA",O18=0),0,IF(AND($D46="F-SMRB",O18=0),0,IF(AND($D46="F-SMRC",O18=0),0,IF($D46='W9'!$A$68,'W9'!D311,IF($D46='W9'!$A$69,'W9'!D311,IF($D46='W9'!$A$70,'W9'!D311,ROUND(('R9'!O18/'W9'!$D$5*'W9'!$D$9*(IF('R9'!$D46='W9'!$A$47,'W9'!D$47,IF('R9'!$D46='W9'!$A$48,'W9'!D$48,IF('R9'!$D46='W9'!$A$49,'W9'!D$49,IF('R9'!$D46='W9'!$A$50,'W9'!D$50,IF('R9'!$D46='W9'!$A$51,'W9'!D$51,IF('R9'!$D46='W9'!$A$52,'W9'!D$52,IF('R9'!$D46='W9'!$A$53,'W9'!D$53,IF('R9'!$D46='W9'!$A$54,'W9'!D$54,IF('R9'!$D46='W9'!$A$55,'W9'!D$55))))))))))),0)+ROUND(O18/'W9'!$D$5*'W9'!$D$10*(IF('R9'!$D46='W9'!$A$47,'W9'!E$47,IF('R9'!$D46='W9'!$A$48,'W9'!E$48,IF('R9'!$D46='W9'!$A$49,'W9'!E$49,IF('R9'!$D46='W9'!$A$50,'W9'!E$50,IF('R9'!$D46='W9'!$A$51,'W9'!E$51,IF('R9'!$D46='W9'!$A$52,'W9'!E$52,IF('R9'!$D46='W9'!$A$53,'W9'!E$53,IF('R9'!$D46='W9'!$A$54,'W9'!E$54,IF('R9'!$D46='W9'!$A$55,'W9'!E$55)))))))))),0))))))))</f>
        <v>0</v>
      </c>
      <c r="P46" s="187">
        <f ca="1">IF(P18=0,0,IF(AND($D46="F-SMRA",P18=0),0,IF(AND($D46="F-SMRB",P18=0),0,IF(AND($D46="F-SMRC",P18=0),0,IF($D46='W9'!$A$68,'W9'!F311,IF($D46='W9'!$A$69,'W9'!F311,IF($D46='W9'!$A$70,'W9'!F311,ROUND(('R9'!P18/'W9'!$E$5*'W9'!$E$9*(IF('R9'!$D46='W9'!$A$47,'W9'!F$47,IF('R9'!$D46='W9'!$A$48,'W9'!F$48,IF('R9'!$D46='W9'!$A$49,'W9'!F$49,IF('R9'!$D46='W9'!$A$50,'W9'!F$50,IF('R9'!$D46='W9'!$A$51,'W9'!F$51,IF('R9'!$D46='W9'!$A$52,'W9'!F$52,IF('R9'!$D46='W9'!$A$53,'W9'!F$53,IF('R9'!$D46='W9'!$A$54,'W9'!F$54,IF('R9'!$D46='W9'!$A$55,'W9'!F$55))))))))))),0)+ROUND(P18/'W9'!$E$5*'W9'!$E$10*(IF('R9'!$D46='W9'!$A$47,'W9'!G$47,IF('R9'!$D46='W9'!$A$48,'W9'!G$48,IF('R9'!$D46='W9'!$A$49,'W9'!G$49,IF('R9'!$D46='W9'!$A$50,'W9'!G$50,IF('R9'!$D46='W9'!$A$51,'W9'!G$51,IF('R9'!$D46='W9'!$A$52,'W9'!G$52,IF('R9'!$D46='W9'!$A$53,'W9'!G$53,IF('R9'!$D46='W9'!$A$54,'W9'!G$54,IF('R9'!$D46='W9'!$A$55,'W9'!G$55)))))))))),0))))))))</f>
        <v>0</v>
      </c>
      <c r="Q46" s="187">
        <f ca="1">IF(Q18=0,0,IF(AND($D46="F-SMRA",Q18=0),0,IF(AND($D46="F-SMRB",Q18=0),0,IF(AND($D46="F-SMRC",Q18=0),0,IF($D46='W9'!$A$68,'W9'!H311,IF($D46='W9'!$A$69,'W9'!H311,IF($D46='W9'!$A$70,'W9'!H311,ROUND(('R9'!Q18/'W9'!$F$5*'W9'!$F$9*(IF('R9'!$D46='W9'!$A$47,'W9'!H$47,IF('R9'!$D46='W9'!$A$48,'W9'!H$48,IF('R9'!$D46='W9'!$A$49,'W9'!H$49,IF('R9'!$D46='W9'!$A$50,'W9'!H$50,IF('R9'!$D46='W9'!$A$51,'W9'!H$51,IF('R9'!$D46='W9'!$A$52,'W9'!H$52,IF('R9'!$D46='W9'!$A$53,'W9'!H$53,IF('R9'!$D46='W9'!$A$54,'W9'!H$54,IF('R9'!$D46='W9'!$A$55,'W9'!H$55))))))))))),0)+ROUND(Q18/'W9'!$F$5*'W9'!$F$10*(IF('R9'!$D46='W9'!$A$47,'W9'!I$47,IF('R9'!$D46='W9'!$A$48,'W9'!I$48,IF('R9'!$D46='W9'!$A$49,'W9'!I$49,IF('R9'!$D46='W9'!$A$50,'W9'!I$50,IF('R9'!$D46='W9'!$A$51,'W9'!I$51,IF('R9'!$D46='W9'!$A$52,'W9'!I$52,IF('R9'!$D46='W9'!$A$53,'W9'!I$53,IF('R9'!$D46='W9'!$A$54,'W9'!I$54,IF('R9'!$D46='W9'!$A$55,'W9'!I$55)))))))))),0))))))))</f>
        <v>0</v>
      </c>
      <c r="R46" s="187">
        <f ca="1">IF(R18=0,0,IF(AND($D46="F-SMRA",R18=0),0,IF(AND($D46="F-SMRB",R18=0),0,IF(AND($D46="F-SMRC",R18=0),0,IF($D46='W9'!$A$68,'W9'!J311,IF($D46='W9'!$A$69,'W9'!J311,IF($D46='W9'!$A$70,'W9'!J311,ROUND(('R9'!R18/'W9'!$G$5*'W9'!$G$9*(IF('R9'!$D46='W9'!$A$47,'W9'!J$47,IF('R9'!$D46='W9'!$A$48,'W9'!J$48,IF('R9'!$D46='W9'!$A$49,'W9'!J$49,IF('R9'!$D46='W9'!$A$50,'W9'!J$50,IF('R9'!$D46='W9'!$A$51,'W9'!J$51,IF('R9'!$D46='W9'!$A$52,'W9'!J$52,IF('R9'!$D46='W9'!$A$53,'W9'!J$53,IF('R9'!$D46='W9'!$A$54,'W9'!J$54,IF('R9'!$D46='W9'!$A$55,'W9'!J$55))))))))))),0)+ROUND(R18/'W9'!$G$5*'W9'!$G$10*(IF('R9'!$D46='W9'!$A$47,'W9'!K$47,IF('R9'!$D46='W9'!$A$48,'W9'!K$48,IF('R9'!$D46='W9'!$A$49,'W9'!K$49,IF('R9'!$D46='W9'!$A$50,'W9'!K$50,IF('R9'!$D46='W9'!$A$51,'W9'!K$51,IF('R9'!$D46='W9'!$A$52,'W9'!K$52,IF('R9'!$D46='W9'!$A$53,'W9'!K$53,IF('R9'!$D46='W9'!$A$54,'W9'!K$54,IF('R9'!$D46='W9'!$A$55,'W9'!K$55)))))))))),0))))))))</f>
        <v>0</v>
      </c>
      <c r="S46" s="187">
        <f t="shared" ca="1" si="3"/>
        <v>0</v>
      </c>
      <c r="T46" s="248"/>
      <c r="U46" s="248"/>
      <c r="V46" s="248"/>
      <c r="W46" s="248"/>
      <c r="X46" s="248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x14ac:dyDescent="0.2">
      <c r="A47" s="92">
        <v>12</v>
      </c>
      <c r="B47" s="381">
        <f t="shared" si="2"/>
        <v>0</v>
      </c>
      <c r="C47" s="382"/>
      <c r="D47" s="199" t="s">
        <v>52</v>
      </c>
      <c r="E47" s="265" t="str">
        <f>IF($D47='W9'!$A$59,'W9'!B$59,IF($D47='W9'!$A$60,'W9'!B$60,IF($D47='W9'!$A$61,'W9'!B$61,IF($D47='W9'!$A$62,'W9'!B$62,IF($D47='W9'!$A$63,'W9'!B$63,IF($D47='W9'!$A$64,'W9'!B$64,IF($D47='W9'!$A$65,'W9'!B$65,IF($D47='W9'!$A$66,'W9'!B$66,IF($D47='W9'!$A$67,'W9'!B$67,IF($D47='W9'!$A$68,'W9'!B286,IF($D47='W9'!$A$69,'W9'!B286,IF($D47='W9'!$A$70,'W9'!B286,IF($D47='W9'!$A$71,"")))))))))))))</f>
        <v/>
      </c>
      <c r="F47" s="378" t="str">
        <f>IF($D47='W9'!$A$59,'W9'!C$59,IF($D47='W9'!$A$60,'W9'!C$60,IF($D47='W9'!$A$61,'W9'!C$61,IF($D47='W9'!$A$62,'W9'!C$62,IF($D47='W9'!$A$63,'W9'!C$63,IF($D47='W9'!$A$64,'W9'!C$64,IF($D47='W9'!$A$65,'W9'!C$65,IF($D47='W9'!$A$66,'W9'!C$66,IF($D47='W9'!$A$67,'W9'!C$67,IF($D47='W9'!$A$68,'W9'!D286,IF($D47='W9'!$A$69,'W9'!D286,IF($D47='W9'!$A$70,'W9'!D286,IF($D47='W9'!$A$71,"")))))))))))))</f>
        <v/>
      </c>
      <c r="G47" s="379"/>
      <c r="H47" s="366" t="str">
        <f>IF($D47='W9'!$A$59,'W9'!D$59,IF($D47='W9'!$A$60,'W9'!D$60,IF($D47='W9'!$A$61,'W9'!D$61,IF($D47='W9'!$A$62,'W9'!D$62,IF($D47='W9'!$A$63,'W9'!D$63,IF($D47='W9'!$A$64,'W9'!D$64,IF($D47='W9'!$A$65,'W9'!D$65,IF($D47='W9'!$A$66,'W9'!D$66,IF($D47='W9'!$A$67,'W9'!D$67,IF($D47='W9'!$A$68,'W9'!F286,IF($D47='W9'!$A$69,'W9'!F286,IF($D47='W9'!$A$70,'W9'!F286,IF($D47='W9'!$A$71,"")))))))))))))</f>
        <v/>
      </c>
      <c r="I47" s="367"/>
      <c r="J47" s="366" t="str">
        <f>IF($D47='W9'!$A$59,'W9'!E$59,IF($D47='W9'!$A$60,'W9'!E$60,IF($D47='W9'!$A$61,'W9'!E$61,IF($D47='W9'!$A$62,'W9'!E$62,IF($D47='W9'!$A$63,'W9'!E$63,IF($D47='W9'!$A$64,'W9'!E$64,IF($D47='W9'!$A$65,'W9'!E$65,IF($D47='W9'!$A$66,'W9'!E$66,IF($D47='W9'!$A$67,'W9'!E$67,IF($D47='W9'!$A$68,'W9'!H286,IF($D47='W9'!$A$69,'W9'!H286,IF($D47='W9'!$A$70,'W9'!H286,IF($D47='W9'!$A$71,"")))))))))))))</f>
        <v/>
      </c>
      <c r="K47" s="367"/>
      <c r="L47" s="366" t="str">
        <f>IF($D47='W9'!$A$59,'W9'!F$59,IF($D47='W9'!$A$60,'W9'!F$60,IF($D47='W9'!$A$61,'W9'!F$61,IF($D47='W9'!$A$62,'W9'!F$62,IF($D47='W9'!$A$63,'W9'!F$63,IF($D47='W9'!$A$64,'W9'!F$64,IF($D47='W9'!$A$65,'W9'!F$65,IF($D47='W9'!$A$66,'W9'!F$66,IF($D47='W9'!$A$67,'W9'!F$67,IF($D47='W9'!$A$68,'W9'!J286,IF($D47='W9'!$A$69,'W9'!J286,IF($D47='W9'!$A$70,'W9'!J286,IF($D47='W9'!$A$71,"")))))))))))))</f>
        <v/>
      </c>
      <c r="M47" s="367"/>
      <c r="N47" s="187">
        <f ca="1">IF(N19=0,0,IF(AND($D47="F-SMRA",N19=0),0,IF(AND($D47="F-SMRB",N19=0),0,IF(AND($D47="F-SMRC",N19=0),0,IF($D47='W9'!$A$68,'W9'!B312,IF($D47='W9'!$A$69,'W9'!B312,IF($D47='W9'!$A$70,'W9'!B312,ROUND(('R9'!N19/'W9'!$C$5*'W9'!$C$9*(IF('R9'!$D47='W9'!$A$47,'W9'!B$47,IF('R9'!$D47='W9'!$A$48,'W9'!B$48,IF('R9'!$D47='W9'!$A$49,'W9'!B$49,IF('R9'!$D47='W9'!$A$50,'W9'!B$50,IF('R9'!$D47='W9'!$A$51,'W9'!B$51,IF('R9'!$D47='W9'!$A$52,'W9'!B$52,IF('R9'!$D47='W9'!$A$53,'W9'!B$53,IF('R9'!$D47='W9'!$A$54,'W9'!B$54,IF('R9'!$D47='W9'!$A$55,'W9'!B$55))))))))))),0)+ROUND(N19/'W9'!$C$5*'W9'!$C$10*(IF('R9'!$D47='W9'!$A$47,'W9'!C$47,IF('R9'!$D47='W9'!$A$48,'W9'!C$48,IF('R9'!$D47='W9'!$A$49,'W9'!C$49,IF('R9'!$D47='W9'!$A$50,'W9'!C$50,IF('R9'!$D47='W9'!$A$51,'W9'!C$51,IF('R9'!$D47='W9'!$A$52,'W9'!C$52,IF('R9'!$D47='W9'!$A$53,'W9'!C$53,IF('R9'!$D47='W9'!$A$54,'W9'!C$54,IF('R9'!$D47='W9'!$A$55,'W9'!C$55)))))))))),0))))))))</f>
        <v>0</v>
      </c>
      <c r="O47" s="187">
        <f ca="1">IF(O19=0,0,IF(AND($D47="F-SMRA",O19=0),0,IF(AND($D47="F-SMRB",O19=0),0,IF(AND($D47="F-SMRC",O19=0),0,IF($D47='W9'!$A$68,'W9'!D312,IF($D47='W9'!$A$69,'W9'!D312,IF($D47='W9'!$A$70,'W9'!D312,ROUND(('R9'!O19/'W9'!$D$5*'W9'!$D$9*(IF('R9'!$D47='W9'!$A$47,'W9'!D$47,IF('R9'!$D47='W9'!$A$48,'W9'!D$48,IF('R9'!$D47='W9'!$A$49,'W9'!D$49,IF('R9'!$D47='W9'!$A$50,'W9'!D$50,IF('R9'!$D47='W9'!$A$51,'W9'!D$51,IF('R9'!$D47='W9'!$A$52,'W9'!D$52,IF('R9'!$D47='W9'!$A$53,'W9'!D$53,IF('R9'!$D47='W9'!$A$54,'W9'!D$54,IF('R9'!$D47='W9'!$A$55,'W9'!D$55))))))))))),0)+ROUND(O19/'W9'!$D$5*'W9'!$D$10*(IF('R9'!$D47='W9'!$A$47,'W9'!E$47,IF('R9'!$D47='W9'!$A$48,'W9'!E$48,IF('R9'!$D47='W9'!$A$49,'W9'!E$49,IF('R9'!$D47='W9'!$A$50,'W9'!E$50,IF('R9'!$D47='W9'!$A$51,'W9'!E$51,IF('R9'!$D47='W9'!$A$52,'W9'!E$52,IF('R9'!$D47='W9'!$A$53,'W9'!E$53,IF('R9'!$D47='W9'!$A$54,'W9'!E$54,IF('R9'!$D47='W9'!$A$55,'W9'!E$55)))))))))),0))))))))</f>
        <v>0</v>
      </c>
      <c r="P47" s="187">
        <f ca="1">IF(P19=0,0,IF(AND($D47="F-SMRA",P19=0),0,IF(AND($D47="F-SMRB",P19=0),0,IF(AND($D47="F-SMRC",P19=0),0,IF($D47='W9'!$A$68,'W9'!F312,IF($D47='W9'!$A$69,'W9'!F312,IF($D47='W9'!$A$70,'W9'!F312,ROUND(('R9'!P19/'W9'!$E$5*'W9'!$E$9*(IF('R9'!$D47='W9'!$A$47,'W9'!F$47,IF('R9'!$D47='W9'!$A$48,'W9'!F$48,IF('R9'!$D47='W9'!$A$49,'W9'!F$49,IF('R9'!$D47='W9'!$A$50,'W9'!F$50,IF('R9'!$D47='W9'!$A$51,'W9'!F$51,IF('R9'!$D47='W9'!$A$52,'W9'!F$52,IF('R9'!$D47='W9'!$A$53,'W9'!F$53,IF('R9'!$D47='W9'!$A$54,'W9'!F$54,IF('R9'!$D47='W9'!$A$55,'W9'!F$55))))))))))),0)+ROUND(P19/'W9'!$E$5*'W9'!$E$10*(IF('R9'!$D47='W9'!$A$47,'W9'!G$47,IF('R9'!$D47='W9'!$A$48,'W9'!G$48,IF('R9'!$D47='W9'!$A$49,'W9'!G$49,IF('R9'!$D47='W9'!$A$50,'W9'!G$50,IF('R9'!$D47='W9'!$A$51,'W9'!G$51,IF('R9'!$D47='W9'!$A$52,'W9'!G$52,IF('R9'!$D47='W9'!$A$53,'W9'!G$53,IF('R9'!$D47='W9'!$A$54,'W9'!G$54,IF('R9'!$D47='W9'!$A$55,'W9'!G$55)))))))))),0))))))))</f>
        <v>0</v>
      </c>
      <c r="Q47" s="187">
        <f ca="1">IF(Q19=0,0,IF(AND($D47="F-SMRA",Q19=0),0,IF(AND($D47="F-SMRB",Q19=0),0,IF(AND($D47="F-SMRC",Q19=0),0,IF($D47='W9'!$A$68,'W9'!H312,IF($D47='W9'!$A$69,'W9'!H312,IF($D47='W9'!$A$70,'W9'!H312,ROUND(('R9'!Q19/'W9'!$F$5*'W9'!$F$9*(IF('R9'!$D47='W9'!$A$47,'W9'!H$47,IF('R9'!$D47='W9'!$A$48,'W9'!H$48,IF('R9'!$D47='W9'!$A$49,'W9'!H$49,IF('R9'!$D47='W9'!$A$50,'W9'!H$50,IF('R9'!$D47='W9'!$A$51,'W9'!H$51,IF('R9'!$D47='W9'!$A$52,'W9'!H$52,IF('R9'!$D47='W9'!$A$53,'W9'!H$53,IF('R9'!$D47='W9'!$A$54,'W9'!H$54,IF('R9'!$D47='W9'!$A$55,'W9'!H$55))))))))))),0)+ROUND(Q19/'W9'!$F$5*'W9'!$F$10*(IF('R9'!$D47='W9'!$A$47,'W9'!I$47,IF('R9'!$D47='W9'!$A$48,'W9'!I$48,IF('R9'!$D47='W9'!$A$49,'W9'!I$49,IF('R9'!$D47='W9'!$A$50,'W9'!I$50,IF('R9'!$D47='W9'!$A$51,'W9'!I$51,IF('R9'!$D47='W9'!$A$52,'W9'!I$52,IF('R9'!$D47='W9'!$A$53,'W9'!I$53,IF('R9'!$D47='W9'!$A$54,'W9'!I$54,IF('R9'!$D47='W9'!$A$55,'W9'!I$55)))))))))),0))))))))</f>
        <v>0</v>
      </c>
      <c r="R47" s="187">
        <f ca="1">IF(R19=0,0,IF(AND($D47="F-SMRA",R19=0),0,IF(AND($D47="F-SMRB",R19=0),0,IF(AND($D47="F-SMRC",R19=0),0,IF($D47='W9'!$A$68,'W9'!J312,IF($D47='W9'!$A$69,'W9'!J312,IF($D47='W9'!$A$70,'W9'!J312,ROUND(('R9'!R19/'W9'!$G$5*'W9'!$G$9*(IF('R9'!$D47='W9'!$A$47,'W9'!J$47,IF('R9'!$D47='W9'!$A$48,'W9'!J$48,IF('R9'!$D47='W9'!$A$49,'W9'!J$49,IF('R9'!$D47='W9'!$A$50,'W9'!J$50,IF('R9'!$D47='W9'!$A$51,'W9'!J$51,IF('R9'!$D47='W9'!$A$52,'W9'!J$52,IF('R9'!$D47='W9'!$A$53,'W9'!J$53,IF('R9'!$D47='W9'!$A$54,'W9'!J$54,IF('R9'!$D47='W9'!$A$55,'W9'!J$55))))))))))),0)+ROUND(R19/'W9'!$G$5*'W9'!$G$10*(IF('R9'!$D47='W9'!$A$47,'W9'!K$47,IF('R9'!$D47='W9'!$A$48,'W9'!K$48,IF('R9'!$D47='W9'!$A$49,'W9'!K$49,IF('R9'!$D47='W9'!$A$50,'W9'!K$50,IF('R9'!$D47='W9'!$A$51,'W9'!K$51,IF('R9'!$D47='W9'!$A$52,'W9'!K$52,IF('R9'!$D47='W9'!$A$53,'W9'!K$53,IF('R9'!$D47='W9'!$A$54,'W9'!K$54,IF('R9'!$D47='W9'!$A$55,'W9'!K$55)))))))))),0))))))))</f>
        <v>0</v>
      </c>
      <c r="S47" s="187">
        <f t="shared" ca="1" si="3"/>
        <v>0</v>
      </c>
      <c r="T47" s="248"/>
      <c r="U47" s="248"/>
      <c r="V47" s="248"/>
      <c r="W47" s="248"/>
      <c r="X47" s="248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idden="1" x14ac:dyDescent="0.2">
      <c r="A48" s="92">
        <v>13</v>
      </c>
      <c r="B48" s="381">
        <f t="shared" si="2"/>
        <v>0</v>
      </c>
      <c r="C48" s="382"/>
      <c r="D48" s="199" t="s">
        <v>52</v>
      </c>
      <c r="E48" s="265" t="str">
        <f>IF($D48='W9'!$A$59,'W9'!B$59,IF($D48='W9'!$A$60,'W9'!B$60,IF($D48='W9'!$A$61,'W9'!B$61,IF($D48='W9'!$A$62,'W9'!B$62,IF($D48='W9'!$A$63,'W9'!B$63,IF($D48='W9'!$A$64,'W9'!B$64,IF($D48='W9'!$A$65,'W9'!B$65,IF($D48='W9'!$A$66,'W9'!B$66,IF($D48='W9'!$A$67,'W9'!B$67,IF($D48='W9'!$A$68,'W9'!B287,IF($D48='W9'!$A$69,'W9'!B287,IF($D48='W9'!$A$70,'W9'!B287,IF($D48='W9'!$A$71,"")))))))))))))</f>
        <v/>
      </c>
      <c r="F48" s="378" t="str">
        <f>IF($D48='W9'!$A$59,'W9'!C$59,IF($D48='W9'!$A$60,'W9'!C$60,IF($D48='W9'!$A$61,'W9'!C$61,IF($D48='W9'!$A$62,'W9'!C$62,IF($D48='W9'!$A$63,'W9'!C$63,IF($D48='W9'!$A$64,'W9'!C$64,IF($D48='W9'!$A$65,'W9'!C$65,IF($D48='W9'!$A$66,'W9'!C$66,IF($D48='W9'!$A$67,'W9'!C$67,IF($D48='W9'!$A$68,'W9'!D287,IF($D48='W9'!$A$69,'W9'!D287,IF($D48='W9'!$A$70,'W9'!D287,IF($D48='W9'!$A$71,"")))))))))))))</f>
        <v/>
      </c>
      <c r="G48" s="379"/>
      <c r="H48" s="366" t="str">
        <f>IF($D48='W9'!$A$59,'W9'!D$59,IF($D48='W9'!$A$60,'W9'!D$60,IF($D48='W9'!$A$61,'W9'!D$61,IF($D48='W9'!$A$62,'W9'!D$62,IF($D48='W9'!$A$63,'W9'!D$63,IF($D48='W9'!$A$64,'W9'!D$64,IF($D48='W9'!$A$65,'W9'!D$65,IF($D48='W9'!$A$66,'W9'!D$66,IF($D48='W9'!$A$67,'W9'!D$67,IF($D48='W9'!$A$68,'W9'!F287,IF($D48='W9'!$A$69,'W9'!F287,IF($D48='W9'!$A$70,'W9'!F287,IF($D48='W9'!$A$71,"")))))))))))))</f>
        <v/>
      </c>
      <c r="I48" s="367"/>
      <c r="J48" s="366" t="str">
        <f>IF($D48='W9'!$A$59,'W9'!E$59,IF($D48='W9'!$A$60,'W9'!E$60,IF($D48='W9'!$A$61,'W9'!E$61,IF($D48='W9'!$A$62,'W9'!E$62,IF($D48='W9'!$A$63,'W9'!E$63,IF($D48='W9'!$A$64,'W9'!E$64,IF($D48='W9'!$A$65,'W9'!E$65,IF($D48='W9'!$A$66,'W9'!E$66,IF($D48='W9'!$A$67,'W9'!E$67,IF($D48='W9'!$A$68,'W9'!H287,IF($D48='W9'!$A$69,'W9'!H287,IF($D48='W9'!$A$70,'W9'!H287,IF($D48='W9'!$A$71,"")))))))))))))</f>
        <v/>
      </c>
      <c r="K48" s="367"/>
      <c r="L48" s="366" t="str">
        <f>IF($D48='W9'!$A$59,'W9'!F$59,IF($D48='W9'!$A$60,'W9'!F$60,IF($D48='W9'!$A$61,'W9'!F$61,IF($D48='W9'!$A$62,'W9'!F$62,IF($D48='W9'!$A$63,'W9'!F$63,IF($D48='W9'!$A$64,'W9'!F$64,IF($D48='W9'!$A$65,'W9'!F$65,IF($D48='W9'!$A$66,'W9'!F$66,IF($D48='W9'!$A$67,'W9'!F$67,IF($D48='W9'!$A$68,'W9'!J287,IF($D48='W9'!$A$69,'W9'!J287,IF($D48='W9'!$A$70,'W9'!J287,IF($D48='W9'!$A$71,"")))))))))))))</f>
        <v/>
      </c>
      <c r="M48" s="367"/>
      <c r="N48" s="187">
        <f ca="1">IF(N20=0,0,IF(AND($D48="F-SMRA",N20=0),0,IF(AND($D48="F-SMRB",N20=0),0,IF(AND($D48="F-SMRC",N20=0),0,IF($D48='W9'!$A$68,'W9'!B313,IF($D48='W9'!$A$69,'W9'!B313,IF($D48='W9'!$A$70,'W9'!B313,ROUND(('R9'!N20/'W9'!$C$5*'W9'!$C$9*(IF('R9'!$D48='W9'!$A$47,'W9'!B$47,IF('R9'!$D48='W9'!$A$48,'W9'!B$48,IF('R9'!$D48='W9'!$A$49,'W9'!B$49,IF('R9'!$D48='W9'!$A$50,'W9'!B$50,IF('R9'!$D48='W9'!$A$51,'W9'!B$51,IF('R9'!$D48='W9'!$A$52,'W9'!B$52,IF('R9'!$D48='W9'!$A$53,'W9'!B$53,IF('R9'!$D48='W9'!$A$54,'W9'!B$54,IF('R9'!$D48='W9'!$A$55,'W9'!B$55))))))))))),0)+ROUND(N20/'W9'!$C$5*'W9'!$C$10*(IF('R9'!$D48='W9'!$A$47,'W9'!C$47,IF('R9'!$D48='W9'!$A$48,'W9'!C$48,IF('R9'!$D48='W9'!$A$49,'W9'!C$49,IF('R9'!$D48='W9'!$A$50,'W9'!C$50,IF('R9'!$D48='W9'!$A$51,'W9'!C$51,IF('R9'!$D48='W9'!$A$52,'W9'!C$52,IF('R9'!$D48='W9'!$A$53,'W9'!C$53,IF('R9'!$D48='W9'!$A$54,'W9'!C$54,IF('R9'!$D48='W9'!$A$55,'W9'!C$55)))))))))),0))))))))</f>
        <v>0</v>
      </c>
      <c r="O48" s="187">
        <f ca="1">IF(O20=0,0,IF(AND($D48="F-SMRA",O20=0),0,IF(AND($D48="F-SMRB",O20=0),0,IF(AND($D48="F-SMRC",O20=0),0,IF($D48='W9'!$A$68,'W9'!D313,IF($D48='W9'!$A$69,'W9'!D313,IF($D48='W9'!$A$70,'W9'!D313,ROUND(('R9'!O20/'W9'!$D$5*'W9'!$D$9*(IF('R9'!$D48='W9'!$A$47,'W9'!D$47,IF('R9'!$D48='W9'!$A$48,'W9'!D$48,IF('R9'!$D48='W9'!$A$49,'W9'!D$49,IF('R9'!$D48='W9'!$A$50,'W9'!D$50,IF('R9'!$D48='W9'!$A$51,'W9'!D$51,IF('R9'!$D48='W9'!$A$52,'W9'!D$52,IF('R9'!$D48='W9'!$A$53,'W9'!D$53,IF('R9'!$D48='W9'!$A$54,'W9'!D$54,IF('R9'!$D48='W9'!$A$55,'W9'!D$55))))))))))),0)+ROUND(O20/'W9'!$D$5*'W9'!$D$10*(IF('R9'!$D48='W9'!$A$47,'W9'!E$47,IF('R9'!$D48='W9'!$A$48,'W9'!E$48,IF('R9'!$D48='W9'!$A$49,'W9'!E$49,IF('R9'!$D48='W9'!$A$50,'W9'!E$50,IF('R9'!$D48='W9'!$A$51,'W9'!E$51,IF('R9'!$D48='W9'!$A$52,'W9'!E$52,IF('R9'!$D48='W9'!$A$53,'W9'!E$53,IF('R9'!$D48='W9'!$A$54,'W9'!E$54,IF('R9'!$D48='W9'!$A$55,'W9'!E$55)))))))))),0))))))))</f>
        <v>0</v>
      </c>
      <c r="P48" s="187">
        <f ca="1">IF(P20=0,0,IF(AND($D48="F-SMRA",P20=0),0,IF(AND($D48="F-SMRB",P20=0),0,IF(AND($D48="F-SMRC",P20=0),0,IF($D48='W9'!$A$68,'W9'!F313,IF($D48='W9'!$A$69,'W9'!F313,IF($D48='W9'!$A$70,'W9'!F313,ROUND(('R9'!P20/'W9'!$E$5*'W9'!$E$9*(IF('R9'!$D48='W9'!$A$47,'W9'!F$47,IF('R9'!$D48='W9'!$A$48,'W9'!F$48,IF('R9'!$D48='W9'!$A$49,'W9'!F$49,IF('R9'!$D48='W9'!$A$50,'W9'!F$50,IF('R9'!$D48='W9'!$A$51,'W9'!F$51,IF('R9'!$D48='W9'!$A$52,'W9'!F$52,IF('R9'!$D48='W9'!$A$53,'W9'!F$53,IF('R9'!$D48='W9'!$A$54,'W9'!F$54,IF('R9'!$D48='W9'!$A$55,'W9'!F$55))))))))))),0)+ROUND(P20/'W9'!$E$5*'W9'!$E$10*(IF('R9'!$D48='W9'!$A$47,'W9'!G$47,IF('R9'!$D48='W9'!$A$48,'W9'!G$48,IF('R9'!$D48='W9'!$A$49,'W9'!G$49,IF('R9'!$D48='W9'!$A$50,'W9'!G$50,IF('R9'!$D48='W9'!$A$51,'W9'!G$51,IF('R9'!$D48='W9'!$A$52,'W9'!G$52,IF('R9'!$D48='W9'!$A$53,'W9'!G$53,IF('R9'!$D48='W9'!$A$54,'W9'!G$54,IF('R9'!$D48='W9'!$A$55,'W9'!G$55)))))))))),0))))))))</f>
        <v>0</v>
      </c>
      <c r="Q48" s="187">
        <f ca="1">IF(Q20=0,0,IF(AND($D48="F-SMRA",Q20=0),0,IF(AND($D48="F-SMRB",Q20=0),0,IF(AND($D48="F-SMRC",Q20=0),0,IF($D48='W9'!$A$68,'W9'!H313,IF($D48='W9'!$A$69,'W9'!H313,IF($D48='W9'!$A$70,'W9'!H313,ROUND(('R9'!Q20/'W9'!$F$5*'W9'!$F$9*(IF('R9'!$D48='W9'!$A$47,'W9'!H$47,IF('R9'!$D48='W9'!$A$48,'W9'!H$48,IF('R9'!$D48='W9'!$A$49,'W9'!H$49,IF('R9'!$D48='W9'!$A$50,'W9'!H$50,IF('R9'!$D48='W9'!$A$51,'W9'!H$51,IF('R9'!$D48='W9'!$A$52,'W9'!H$52,IF('R9'!$D48='W9'!$A$53,'W9'!H$53,IF('R9'!$D48='W9'!$A$54,'W9'!H$54,IF('R9'!$D48='W9'!$A$55,'W9'!H$55))))))))))),0)+ROUND(Q20/'W9'!$F$5*'W9'!$F$10*(IF('R9'!$D48='W9'!$A$47,'W9'!I$47,IF('R9'!$D48='W9'!$A$48,'W9'!I$48,IF('R9'!$D48='W9'!$A$49,'W9'!I$49,IF('R9'!$D48='W9'!$A$50,'W9'!I$50,IF('R9'!$D48='W9'!$A$51,'W9'!I$51,IF('R9'!$D48='W9'!$A$52,'W9'!I$52,IF('R9'!$D48='W9'!$A$53,'W9'!I$53,IF('R9'!$D48='W9'!$A$54,'W9'!I$54,IF('R9'!$D48='W9'!$A$55,'W9'!I$55)))))))))),0))))))))</f>
        <v>0</v>
      </c>
      <c r="R48" s="187">
        <f ca="1">IF(R20=0,0,IF(AND($D48="F-SMRA",R20=0),0,IF(AND($D48="F-SMRB",R20=0),0,IF(AND($D48="F-SMRC",R20=0),0,IF($D48='W9'!$A$68,'W9'!J313,IF($D48='W9'!$A$69,'W9'!J313,IF($D48='W9'!$A$70,'W9'!J313,ROUND(('R9'!R20/'W9'!$G$5*'W9'!$G$9*(IF('R9'!$D48='W9'!$A$47,'W9'!J$47,IF('R9'!$D48='W9'!$A$48,'W9'!J$48,IF('R9'!$D48='W9'!$A$49,'W9'!J$49,IF('R9'!$D48='W9'!$A$50,'W9'!J$50,IF('R9'!$D48='W9'!$A$51,'W9'!J$51,IF('R9'!$D48='W9'!$A$52,'W9'!J$52,IF('R9'!$D48='W9'!$A$53,'W9'!J$53,IF('R9'!$D48='W9'!$A$54,'W9'!J$54,IF('R9'!$D48='W9'!$A$55,'W9'!J$55))))))))))),0)+ROUND(R20/'W9'!$G$5*'W9'!$G$10*(IF('R9'!$D48='W9'!$A$47,'W9'!K$47,IF('R9'!$D48='W9'!$A$48,'W9'!K$48,IF('R9'!$D48='W9'!$A$49,'W9'!K$49,IF('R9'!$D48='W9'!$A$50,'W9'!K$50,IF('R9'!$D48='W9'!$A$51,'W9'!K$51,IF('R9'!$D48='W9'!$A$52,'W9'!K$52,IF('R9'!$D48='W9'!$A$53,'W9'!K$53,IF('R9'!$D48='W9'!$A$54,'W9'!K$54,IF('R9'!$D48='W9'!$A$55,'W9'!K$55)))))))))),0))))))))</f>
        <v>0</v>
      </c>
      <c r="S48" s="187">
        <f t="shared" ca="1" si="3"/>
        <v>0</v>
      </c>
      <c r="T48" s="248"/>
      <c r="U48" s="248"/>
      <c r="V48" s="248"/>
      <c r="W48" s="248"/>
      <c r="X48" s="248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idden="1" x14ac:dyDescent="0.2">
      <c r="A49" s="92">
        <v>14</v>
      </c>
      <c r="B49" s="381">
        <f t="shared" si="2"/>
        <v>0</v>
      </c>
      <c r="C49" s="382"/>
      <c r="D49" s="199" t="s">
        <v>52</v>
      </c>
      <c r="E49" s="265" t="str">
        <f>IF($D49='W9'!$A$59,'W9'!B$59,IF($D49='W9'!$A$60,'W9'!B$60,IF($D49='W9'!$A$61,'W9'!B$61,IF($D49='W9'!$A$62,'W9'!B$62,IF($D49='W9'!$A$63,'W9'!B$63,IF($D49='W9'!$A$64,'W9'!B$64,IF($D49='W9'!$A$65,'W9'!B$65,IF($D49='W9'!$A$66,'W9'!B$66,IF($D49='W9'!$A$67,'W9'!B$67,IF($D49='W9'!$A$68,'W9'!B288,IF($D49='W9'!$A$69,'W9'!B288,IF($D49='W9'!$A$70,'W9'!B288,IF($D49='W9'!$A$71,"")))))))))))))</f>
        <v/>
      </c>
      <c r="F49" s="378" t="str">
        <f>IF($D49='W9'!$A$59,'W9'!C$59,IF($D49='W9'!$A$60,'W9'!C$60,IF($D49='W9'!$A$61,'W9'!C$61,IF($D49='W9'!$A$62,'W9'!C$62,IF($D49='W9'!$A$63,'W9'!C$63,IF($D49='W9'!$A$64,'W9'!C$64,IF($D49='W9'!$A$65,'W9'!C$65,IF($D49='W9'!$A$66,'W9'!C$66,IF($D49='W9'!$A$67,'W9'!C$67,IF($D49='W9'!$A$68,'W9'!D288,IF($D49='W9'!$A$69,'W9'!D288,IF($D49='W9'!$A$70,'W9'!D288,IF($D49='W9'!$A$71,"")))))))))))))</f>
        <v/>
      </c>
      <c r="G49" s="379"/>
      <c r="H49" s="366" t="str">
        <f>IF($D49='W9'!$A$59,'W9'!D$59,IF($D49='W9'!$A$60,'W9'!D$60,IF($D49='W9'!$A$61,'W9'!D$61,IF($D49='W9'!$A$62,'W9'!D$62,IF($D49='W9'!$A$63,'W9'!D$63,IF($D49='W9'!$A$64,'W9'!D$64,IF($D49='W9'!$A$65,'W9'!D$65,IF($D49='W9'!$A$66,'W9'!D$66,IF($D49='W9'!$A$67,'W9'!D$67,IF($D49='W9'!$A$68,'W9'!F288,IF($D49='W9'!$A$69,'W9'!F288,IF($D49='W9'!$A$70,'W9'!F288,IF($D49='W9'!$A$71,"")))))))))))))</f>
        <v/>
      </c>
      <c r="I49" s="367"/>
      <c r="J49" s="366" t="str">
        <f>IF($D49='W9'!$A$59,'W9'!E$59,IF($D49='W9'!$A$60,'W9'!E$60,IF($D49='W9'!$A$61,'W9'!E$61,IF($D49='W9'!$A$62,'W9'!E$62,IF($D49='W9'!$A$63,'W9'!E$63,IF($D49='W9'!$A$64,'W9'!E$64,IF($D49='W9'!$A$65,'W9'!E$65,IF($D49='W9'!$A$66,'W9'!E$66,IF($D49='W9'!$A$67,'W9'!E$67,IF($D49='W9'!$A$68,'W9'!H288,IF($D49='W9'!$A$69,'W9'!H288,IF($D49='W9'!$A$70,'W9'!H288,IF($D49='W9'!$A$71,"")))))))))))))</f>
        <v/>
      </c>
      <c r="K49" s="367"/>
      <c r="L49" s="366" t="str">
        <f>IF($D49='W9'!$A$59,'W9'!F$59,IF($D49='W9'!$A$60,'W9'!F$60,IF($D49='W9'!$A$61,'W9'!F$61,IF($D49='W9'!$A$62,'W9'!F$62,IF($D49='W9'!$A$63,'W9'!F$63,IF($D49='W9'!$A$64,'W9'!F$64,IF($D49='W9'!$A$65,'W9'!F$65,IF($D49='W9'!$A$66,'W9'!F$66,IF($D49='W9'!$A$67,'W9'!F$67,IF($D49='W9'!$A$68,'W9'!J288,IF($D49='W9'!$A$69,'W9'!J288,IF($D49='W9'!$A$70,'W9'!J288,IF($D49='W9'!$A$71,"")))))))))))))</f>
        <v/>
      </c>
      <c r="M49" s="367"/>
      <c r="N49" s="187">
        <f ca="1">IF(N21=0,0,IF(AND($D49="F-SMRA",N21=0),0,IF(AND($D49="F-SMRB",N21=0),0,IF(AND($D49="F-SMRC",N21=0),0,IF($D49='W9'!$A$68,'W9'!B314,IF($D49='W9'!$A$69,'W9'!B314,IF($D49='W9'!$A$70,'W9'!B314,ROUND(('R9'!N21/'W9'!$C$5*'W9'!$C$9*(IF('R9'!$D49='W9'!$A$47,'W9'!B$47,IF('R9'!$D49='W9'!$A$48,'W9'!B$48,IF('R9'!$D49='W9'!$A$49,'W9'!B$49,IF('R9'!$D49='W9'!$A$50,'W9'!B$50,IF('R9'!$D49='W9'!$A$51,'W9'!B$51,IF('R9'!$D49='W9'!$A$52,'W9'!B$52,IF('R9'!$D49='W9'!$A$53,'W9'!B$53,IF('R9'!$D49='W9'!$A$54,'W9'!B$54,IF('R9'!$D49='W9'!$A$55,'W9'!B$55))))))))))),0)+ROUND(N21/'W9'!$C$5*'W9'!$C$10*(IF('R9'!$D49='W9'!$A$47,'W9'!C$47,IF('R9'!$D49='W9'!$A$48,'W9'!C$48,IF('R9'!$D49='W9'!$A$49,'W9'!C$49,IF('R9'!$D49='W9'!$A$50,'W9'!C$50,IF('R9'!$D49='W9'!$A$51,'W9'!C$51,IF('R9'!$D49='W9'!$A$52,'W9'!C$52,IF('R9'!$D49='W9'!$A$53,'W9'!C$53,IF('R9'!$D49='W9'!$A$54,'W9'!C$54,IF('R9'!$D49='W9'!$A$55,'W9'!C$55)))))))))),0))))))))</f>
        <v>0</v>
      </c>
      <c r="O49" s="187">
        <f ca="1">IF(O21=0,0,IF(AND($D49="F-SMRA",O21=0),0,IF(AND($D49="F-SMRB",O21=0),0,IF(AND($D49="F-SMRC",O21=0),0,IF($D49='W9'!$A$68,'W9'!D314,IF($D49='W9'!$A$69,'W9'!D314,IF($D49='W9'!$A$70,'W9'!D314,ROUND(('R9'!O21/'W9'!$D$5*'W9'!$D$9*(IF('R9'!$D49='W9'!$A$47,'W9'!D$47,IF('R9'!$D49='W9'!$A$48,'W9'!D$48,IF('R9'!$D49='W9'!$A$49,'W9'!D$49,IF('R9'!$D49='W9'!$A$50,'W9'!D$50,IF('R9'!$D49='W9'!$A$51,'W9'!D$51,IF('R9'!$D49='W9'!$A$52,'W9'!D$52,IF('R9'!$D49='W9'!$A$53,'W9'!D$53,IF('R9'!$D49='W9'!$A$54,'W9'!D$54,IF('R9'!$D49='W9'!$A$55,'W9'!D$55))))))))))),0)+ROUND(O21/'W9'!$D$5*'W9'!$D$10*(IF('R9'!$D49='W9'!$A$47,'W9'!E$47,IF('R9'!$D49='W9'!$A$48,'W9'!E$48,IF('R9'!$D49='W9'!$A$49,'W9'!E$49,IF('R9'!$D49='W9'!$A$50,'W9'!E$50,IF('R9'!$D49='W9'!$A$51,'W9'!E$51,IF('R9'!$D49='W9'!$A$52,'W9'!E$52,IF('R9'!$D49='W9'!$A$53,'W9'!E$53,IF('R9'!$D49='W9'!$A$54,'W9'!E$54,IF('R9'!$D49='W9'!$A$55,'W9'!E$55)))))))))),0))))))))</f>
        <v>0</v>
      </c>
      <c r="P49" s="187">
        <f ca="1">IF(P21=0,0,IF(AND($D49="F-SMRA",P21=0),0,IF(AND($D49="F-SMRB",P21=0),0,IF(AND($D49="F-SMRC",P21=0),0,IF($D49='W9'!$A$68,'W9'!F314,IF($D49='W9'!$A$69,'W9'!F314,IF($D49='W9'!$A$70,'W9'!F314,ROUND(('R9'!P21/'W9'!$E$5*'W9'!$E$9*(IF('R9'!$D49='W9'!$A$47,'W9'!F$47,IF('R9'!$D49='W9'!$A$48,'W9'!F$48,IF('R9'!$D49='W9'!$A$49,'W9'!F$49,IF('R9'!$D49='W9'!$A$50,'W9'!F$50,IF('R9'!$D49='W9'!$A$51,'W9'!F$51,IF('R9'!$D49='W9'!$A$52,'W9'!F$52,IF('R9'!$D49='W9'!$A$53,'W9'!F$53,IF('R9'!$D49='W9'!$A$54,'W9'!F$54,IF('R9'!$D49='W9'!$A$55,'W9'!F$55))))))))))),0)+ROUND(P21/'W9'!$E$5*'W9'!$E$10*(IF('R9'!$D49='W9'!$A$47,'W9'!G$47,IF('R9'!$D49='W9'!$A$48,'W9'!G$48,IF('R9'!$D49='W9'!$A$49,'W9'!G$49,IF('R9'!$D49='W9'!$A$50,'W9'!G$50,IF('R9'!$D49='W9'!$A$51,'W9'!G$51,IF('R9'!$D49='W9'!$A$52,'W9'!G$52,IF('R9'!$D49='W9'!$A$53,'W9'!G$53,IF('R9'!$D49='W9'!$A$54,'W9'!G$54,IF('R9'!$D49='W9'!$A$55,'W9'!G$55)))))))))),0))))))))</f>
        <v>0</v>
      </c>
      <c r="Q49" s="187">
        <f ca="1">IF(Q21=0,0,IF(AND($D49="F-SMRA",Q21=0),0,IF(AND($D49="F-SMRB",Q21=0),0,IF(AND($D49="F-SMRC",Q21=0),0,IF($D49='W9'!$A$68,'W9'!H314,IF($D49='W9'!$A$69,'W9'!H314,IF($D49='W9'!$A$70,'W9'!H314,ROUND(('R9'!Q21/'W9'!$F$5*'W9'!$F$9*(IF('R9'!$D49='W9'!$A$47,'W9'!H$47,IF('R9'!$D49='W9'!$A$48,'W9'!H$48,IF('R9'!$D49='W9'!$A$49,'W9'!H$49,IF('R9'!$D49='W9'!$A$50,'W9'!H$50,IF('R9'!$D49='W9'!$A$51,'W9'!H$51,IF('R9'!$D49='W9'!$A$52,'W9'!H$52,IF('R9'!$D49='W9'!$A$53,'W9'!H$53,IF('R9'!$D49='W9'!$A$54,'W9'!H$54,IF('R9'!$D49='W9'!$A$55,'W9'!H$55))))))))))),0)+ROUND(Q21/'W9'!$F$5*'W9'!$F$10*(IF('R9'!$D49='W9'!$A$47,'W9'!I$47,IF('R9'!$D49='W9'!$A$48,'W9'!I$48,IF('R9'!$D49='W9'!$A$49,'W9'!I$49,IF('R9'!$D49='W9'!$A$50,'W9'!I$50,IF('R9'!$D49='W9'!$A$51,'W9'!I$51,IF('R9'!$D49='W9'!$A$52,'W9'!I$52,IF('R9'!$D49='W9'!$A$53,'W9'!I$53,IF('R9'!$D49='W9'!$A$54,'W9'!I$54,IF('R9'!$D49='W9'!$A$55,'W9'!I$55)))))))))),0))))))))</f>
        <v>0</v>
      </c>
      <c r="R49" s="187">
        <f ca="1">IF(R21=0,0,IF(AND($D49="F-SMRA",R21=0),0,IF(AND($D49="F-SMRB",R21=0),0,IF(AND($D49="F-SMRC",R21=0),0,IF($D49='W9'!$A$68,'W9'!J314,IF($D49='W9'!$A$69,'W9'!J314,IF($D49='W9'!$A$70,'W9'!J314,ROUND(('R9'!R21/'W9'!$G$5*'W9'!$G$9*(IF('R9'!$D49='W9'!$A$47,'W9'!J$47,IF('R9'!$D49='W9'!$A$48,'W9'!J$48,IF('R9'!$D49='W9'!$A$49,'W9'!J$49,IF('R9'!$D49='W9'!$A$50,'W9'!J$50,IF('R9'!$D49='W9'!$A$51,'W9'!J$51,IF('R9'!$D49='W9'!$A$52,'W9'!J$52,IF('R9'!$D49='W9'!$A$53,'W9'!J$53,IF('R9'!$D49='W9'!$A$54,'W9'!J$54,IF('R9'!$D49='W9'!$A$55,'W9'!J$55))))))))))),0)+ROUND(R21/'W9'!$G$5*'W9'!$G$10*(IF('R9'!$D49='W9'!$A$47,'W9'!K$47,IF('R9'!$D49='W9'!$A$48,'W9'!K$48,IF('R9'!$D49='W9'!$A$49,'W9'!K$49,IF('R9'!$D49='W9'!$A$50,'W9'!K$50,IF('R9'!$D49='W9'!$A$51,'W9'!K$51,IF('R9'!$D49='W9'!$A$52,'W9'!K$52,IF('R9'!$D49='W9'!$A$53,'W9'!K$53,IF('R9'!$D49='W9'!$A$54,'W9'!K$54,IF('R9'!$D49='W9'!$A$55,'W9'!K$55)))))))))),0))))))))</f>
        <v>0</v>
      </c>
      <c r="S49" s="187">
        <f t="shared" ca="1" si="3"/>
        <v>0</v>
      </c>
      <c r="T49" s="248"/>
      <c r="U49" s="248"/>
      <c r="V49" s="248"/>
      <c r="W49" s="248"/>
      <c r="X49" s="248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idden="1" x14ac:dyDescent="0.2">
      <c r="A50" s="92">
        <v>15</v>
      </c>
      <c r="B50" s="381">
        <f t="shared" si="2"/>
        <v>0</v>
      </c>
      <c r="C50" s="382"/>
      <c r="D50" s="199" t="s">
        <v>52</v>
      </c>
      <c r="E50" s="265" t="str">
        <f>IF($D50='W9'!$A$59,'W9'!B$59,IF($D50='W9'!$A$60,'W9'!B$60,IF($D50='W9'!$A$61,'W9'!B$61,IF($D50='W9'!$A$62,'W9'!B$62,IF($D50='W9'!$A$63,'W9'!B$63,IF($D50='W9'!$A$64,'W9'!B$64,IF($D50='W9'!$A$65,'W9'!B$65,IF($D50='W9'!$A$66,'W9'!B$66,IF($D50='W9'!$A$67,'W9'!B$67,IF($D50='W9'!$A$68,'W9'!B289,IF($D50='W9'!$A$69,'W9'!B289,IF($D50='W9'!$A$70,'W9'!B289,IF($D50='W9'!$A$71,"")))))))))))))</f>
        <v/>
      </c>
      <c r="F50" s="378" t="str">
        <f>IF($D50='W9'!$A$59,'W9'!C$59,IF($D50='W9'!$A$60,'W9'!C$60,IF($D50='W9'!$A$61,'W9'!C$61,IF($D50='W9'!$A$62,'W9'!C$62,IF($D50='W9'!$A$63,'W9'!C$63,IF($D50='W9'!$A$64,'W9'!C$64,IF($D50='W9'!$A$65,'W9'!C$65,IF($D50='W9'!$A$66,'W9'!C$66,IF($D50='W9'!$A$67,'W9'!C$67,IF($D50='W9'!$A$68,'W9'!D289,IF($D50='W9'!$A$69,'W9'!D289,IF($D50='W9'!$A$70,'W9'!D289,IF($D50='W9'!$A$71,"")))))))))))))</f>
        <v/>
      </c>
      <c r="G50" s="379"/>
      <c r="H50" s="366" t="str">
        <f>IF($D50='W9'!$A$59,'W9'!D$59,IF($D50='W9'!$A$60,'W9'!D$60,IF($D50='W9'!$A$61,'W9'!D$61,IF($D50='W9'!$A$62,'W9'!D$62,IF($D50='W9'!$A$63,'W9'!D$63,IF($D50='W9'!$A$64,'W9'!D$64,IF($D50='W9'!$A$65,'W9'!D$65,IF($D50='W9'!$A$66,'W9'!D$66,IF($D50='W9'!$A$67,'W9'!D$67,IF($D50='W9'!$A$68,'W9'!F289,IF($D50='W9'!$A$69,'W9'!F289,IF($D50='W9'!$A$70,'W9'!F289,IF($D50='W9'!$A$71,"")))))))))))))</f>
        <v/>
      </c>
      <c r="I50" s="367"/>
      <c r="J50" s="366" t="str">
        <f>IF($D50='W9'!$A$59,'W9'!E$59,IF($D50='W9'!$A$60,'W9'!E$60,IF($D50='W9'!$A$61,'W9'!E$61,IF($D50='W9'!$A$62,'W9'!E$62,IF($D50='W9'!$A$63,'W9'!E$63,IF($D50='W9'!$A$64,'W9'!E$64,IF($D50='W9'!$A$65,'W9'!E$65,IF($D50='W9'!$A$66,'W9'!E$66,IF($D50='W9'!$A$67,'W9'!E$67,IF($D50='W9'!$A$68,'W9'!H289,IF($D50='W9'!$A$69,'W9'!H289,IF($D50='W9'!$A$70,'W9'!H289,IF($D50='W9'!$A$71,"")))))))))))))</f>
        <v/>
      </c>
      <c r="K50" s="367"/>
      <c r="L50" s="366" t="str">
        <f>IF($D50='W9'!$A$59,'W9'!F$59,IF($D50='W9'!$A$60,'W9'!F$60,IF($D50='W9'!$A$61,'W9'!F$61,IF($D50='W9'!$A$62,'W9'!F$62,IF($D50='W9'!$A$63,'W9'!F$63,IF($D50='W9'!$A$64,'W9'!F$64,IF($D50='W9'!$A$65,'W9'!F$65,IF($D50='W9'!$A$66,'W9'!F$66,IF($D50='W9'!$A$67,'W9'!F$67,IF($D50='W9'!$A$68,'W9'!J289,IF($D50='W9'!$A$69,'W9'!J289,IF($D50='W9'!$A$70,'W9'!J289,IF($D50='W9'!$A$71,"")))))))))))))</f>
        <v/>
      </c>
      <c r="M50" s="367"/>
      <c r="N50" s="187">
        <f ca="1">IF(N22=0,0,IF(AND($D50="F-SMRA",N22=0),0,IF(AND($D50="F-SMRB",N22=0),0,IF(AND($D50="F-SMRC",N22=0),0,IF($D50='W9'!$A$68,'W9'!B315,IF($D50='W9'!$A$69,'W9'!B315,IF($D50='W9'!$A$70,'W9'!B315,ROUND(('R9'!N22/'W9'!$C$5*'W9'!$C$9*(IF('R9'!$D50='W9'!$A$47,'W9'!B$47,IF('R9'!$D50='W9'!$A$48,'W9'!B$48,IF('R9'!$D50='W9'!$A$49,'W9'!B$49,IF('R9'!$D50='W9'!$A$50,'W9'!B$50,IF('R9'!$D50='W9'!$A$51,'W9'!B$51,IF('R9'!$D50='W9'!$A$52,'W9'!B$52,IF('R9'!$D50='W9'!$A$53,'W9'!B$53,IF('R9'!$D50='W9'!$A$54,'W9'!B$54,IF('R9'!$D50='W9'!$A$55,'W9'!B$55))))))))))),0)+ROUND(N22/'W9'!$C$5*'W9'!$C$10*(IF('R9'!$D50='W9'!$A$47,'W9'!C$47,IF('R9'!$D50='W9'!$A$48,'W9'!C$48,IF('R9'!$D50='W9'!$A$49,'W9'!C$49,IF('R9'!$D50='W9'!$A$50,'W9'!C$50,IF('R9'!$D50='W9'!$A$51,'W9'!C$51,IF('R9'!$D50='W9'!$A$52,'W9'!C$52,IF('R9'!$D50='W9'!$A$53,'W9'!C$53,IF('R9'!$D50='W9'!$A$54,'W9'!C$54,IF('R9'!$D50='W9'!$A$55,'W9'!C$55)))))))))),0))))))))</f>
        <v>0</v>
      </c>
      <c r="O50" s="187">
        <f ca="1">IF(O22=0,0,IF(AND($D50="F-SMRA",O22=0),0,IF(AND($D50="F-SMRB",O22=0),0,IF(AND($D50="F-SMRC",O22=0),0,IF($D50='W9'!$A$68,'W9'!D315,IF($D50='W9'!$A$69,'W9'!D315,IF($D50='W9'!$A$70,'W9'!D315,ROUND(('R9'!O22/'W9'!$D$5*'W9'!$D$9*(IF('R9'!$D50='W9'!$A$47,'W9'!D$47,IF('R9'!$D50='W9'!$A$48,'W9'!D$48,IF('R9'!$D50='W9'!$A$49,'W9'!D$49,IF('R9'!$D50='W9'!$A$50,'W9'!D$50,IF('R9'!$D50='W9'!$A$51,'W9'!D$51,IF('R9'!$D50='W9'!$A$52,'W9'!D$52,IF('R9'!$D50='W9'!$A$53,'W9'!D$53,IF('R9'!$D50='W9'!$A$54,'W9'!D$54,IF('R9'!$D50='W9'!$A$55,'W9'!D$55))))))))))),0)+ROUND(O22/'W9'!$D$5*'W9'!$D$10*(IF('R9'!$D50='W9'!$A$47,'W9'!E$47,IF('R9'!$D50='W9'!$A$48,'W9'!E$48,IF('R9'!$D50='W9'!$A$49,'W9'!E$49,IF('R9'!$D50='W9'!$A$50,'W9'!E$50,IF('R9'!$D50='W9'!$A$51,'W9'!E$51,IF('R9'!$D50='W9'!$A$52,'W9'!E$52,IF('R9'!$D50='W9'!$A$53,'W9'!E$53,IF('R9'!$D50='W9'!$A$54,'W9'!E$54,IF('R9'!$D50='W9'!$A$55,'W9'!E$55)))))))))),0))))))))</f>
        <v>0</v>
      </c>
      <c r="P50" s="187">
        <f ca="1">IF(P22=0,0,IF(AND($D50="F-SMRA",P22=0),0,IF(AND($D50="F-SMRB",P22=0),0,IF(AND($D50="F-SMRC",P22=0),0,IF($D50='W9'!$A$68,'W9'!F315,IF($D50='W9'!$A$69,'W9'!F315,IF($D50='W9'!$A$70,'W9'!F315,ROUND(('R9'!P22/'W9'!$E$5*'W9'!$E$9*(IF('R9'!$D50='W9'!$A$47,'W9'!F$47,IF('R9'!$D50='W9'!$A$48,'W9'!F$48,IF('R9'!$D50='W9'!$A$49,'W9'!F$49,IF('R9'!$D50='W9'!$A$50,'W9'!F$50,IF('R9'!$D50='W9'!$A$51,'W9'!F$51,IF('R9'!$D50='W9'!$A$52,'W9'!F$52,IF('R9'!$D50='W9'!$A$53,'W9'!F$53,IF('R9'!$D50='W9'!$A$54,'W9'!F$54,IF('R9'!$D50='W9'!$A$55,'W9'!F$55))))))))))),0)+ROUND(P22/'W9'!$E$5*'W9'!$E$10*(IF('R9'!$D50='W9'!$A$47,'W9'!G$47,IF('R9'!$D50='W9'!$A$48,'W9'!G$48,IF('R9'!$D50='W9'!$A$49,'W9'!G$49,IF('R9'!$D50='W9'!$A$50,'W9'!G$50,IF('R9'!$D50='W9'!$A$51,'W9'!G$51,IF('R9'!$D50='W9'!$A$52,'W9'!G$52,IF('R9'!$D50='W9'!$A$53,'W9'!G$53,IF('R9'!$D50='W9'!$A$54,'W9'!G$54,IF('R9'!$D50='W9'!$A$55,'W9'!G$55)))))))))),0))))))))</f>
        <v>0</v>
      </c>
      <c r="Q50" s="187">
        <f ca="1">IF(Q22=0,0,IF(AND($D50="F-SMRA",Q22=0),0,IF(AND($D50="F-SMRB",Q22=0),0,IF(AND($D50="F-SMRC",Q22=0),0,IF($D50='W9'!$A$68,'W9'!H315,IF($D50='W9'!$A$69,'W9'!H315,IF($D50='W9'!$A$70,'W9'!H315,ROUND(('R9'!Q22/'W9'!$F$5*'W9'!$F$9*(IF('R9'!$D50='W9'!$A$47,'W9'!H$47,IF('R9'!$D50='W9'!$A$48,'W9'!H$48,IF('R9'!$D50='W9'!$A$49,'W9'!H$49,IF('R9'!$D50='W9'!$A$50,'W9'!H$50,IF('R9'!$D50='W9'!$A$51,'W9'!H$51,IF('R9'!$D50='W9'!$A$52,'W9'!H$52,IF('R9'!$D50='W9'!$A$53,'W9'!H$53,IF('R9'!$D50='W9'!$A$54,'W9'!H$54,IF('R9'!$D50='W9'!$A$55,'W9'!H$55))))))))))),0)+ROUND(Q22/'W9'!$F$5*'W9'!$F$10*(IF('R9'!$D50='W9'!$A$47,'W9'!I$47,IF('R9'!$D50='W9'!$A$48,'W9'!I$48,IF('R9'!$D50='W9'!$A$49,'W9'!I$49,IF('R9'!$D50='W9'!$A$50,'W9'!I$50,IF('R9'!$D50='W9'!$A$51,'W9'!I$51,IF('R9'!$D50='W9'!$A$52,'W9'!I$52,IF('R9'!$D50='W9'!$A$53,'W9'!I$53,IF('R9'!$D50='W9'!$A$54,'W9'!I$54,IF('R9'!$D50='W9'!$A$55,'W9'!I$55)))))))))),0))))))))</f>
        <v>0</v>
      </c>
      <c r="R50" s="187">
        <f ca="1">IF(R22=0,0,IF(AND($D50="F-SMRA",R22=0),0,IF(AND($D50="F-SMRB",R22=0),0,IF(AND($D50="F-SMRC",R22=0),0,IF($D50='W9'!$A$68,'W9'!J315,IF($D50='W9'!$A$69,'W9'!J315,IF($D50='W9'!$A$70,'W9'!J315,ROUND(('R9'!R22/'W9'!$G$5*'W9'!$G$9*(IF('R9'!$D50='W9'!$A$47,'W9'!J$47,IF('R9'!$D50='W9'!$A$48,'W9'!J$48,IF('R9'!$D50='W9'!$A$49,'W9'!J$49,IF('R9'!$D50='W9'!$A$50,'W9'!J$50,IF('R9'!$D50='W9'!$A$51,'W9'!J$51,IF('R9'!$D50='W9'!$A$52,'W9'!J$52,IF('R9'!$D50='W9'!$A$53,'W9'!J$53,IF('R9'!$D50='W9'!$A$54,'W9'!J$54,IF('R9'!$D50='W9'!$A$55,'W9'!J$55))))))))))),0)+ROUND(R22/'W9'!$G$5*'W9'!$G$10*(IF('R9'!$D50='W9'!$A$47,'W9'!K$47,IF('R9'!$D50='W9'!$A$48,'W9'!K$48,IF('R9'!$D50='W9'!$A$49,'W9'!K$49,IF('R9'!$D50='W9'!$A$50,'W9'!K$50,IF('R9'!$D50='W9'!$A$51,'W9'!K$51,IF('R9'!$D50='W9'!$A$52,'W9'!K$52,IF('R9'!$D50='W9'!$A$53,'W9'!K$53,IF('R9'!$D50='W9'!$A$54,'W9'!K$54,IF('R9'!$D50='W9'!$A$55,'W9'!K$55)))))))))),0))))))))</f>
        <v>0</v>
      </c>
      <c r="S50" s="187">
        <f t="shared" ca="1" si="3"/>
        <v>0</v>
      </c>
      <c r="T50" s="248"/>
      <c r="U50" s="248"/>
      <c r="V50" s="248"/>
      <c r="W50" s="248"/>
      <c r="X50" s="248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</row>
    <row r="51" spans="1:51" hidden="1" x14ac:dyDescent="0.2">
      <c r="A51" s="92">
        <v>16</v>
      </c>
      <c r="B51" s="381">
        <f t="shared" si="2"/>
        <v>0</v>
      </c>
      <c r="C51" s="382"/>
      <c r="D51" s="199" t="s">
        <v>52</v>
      </c>
      <c r="E51" s="265" t="str">
        <f>IF($D51='W9'!$A$59,'W9'!B$59,IF($D51='W9'!$A$60,'W9'!B$60,IF($D51='W9'!$A$61,'W9'!B$61,IF($D51='W9'!$A$62,'W9'!B$62,IF($D51='W9'!$A$63,'W9'!B$63,IF($D51='W9'!$A$64,'W9'!B$64,IF($D51='W9'!$A$65,'W9'!B$65,IF($D51='W9'!$A$66,'W9'!B$66,IF($D51='W9'!$A$67,'W9'!B$67,IF($D51='W9'!$A$68,'W9'!B290,IF($D51='W9'!$A$69,'W9'!B290,IF($D51='W9'!$A$70,'W9'!B290,IF($D51='W9'!$A$71,"")))))))))))))</f>
        <v/>
      </c>
      <c r="F51" s="378" t="str">
        <f>IF($D51='W9'!$A$59,'W9'!C$59,IF($D51='W9'!$A$60,'W9'!C$60,IF($D51='W9'!$A$61,'W9'!C$61,IF($D51='W9'!$A$62,'W9'!C$62,IF($D51='W9'!$A$63,'W9'!C$63,IF($D51='W9'!$A$64,'W9'!C$64,IF($D51='W9'!$A$65,'W9'!C$65,IF($D51='W9'!$A$66,'W9'!C$66,IF($D51='W9'!$A$67,'W9'!C$67,IF($D51='W9'!$A$68,'W9'!D290,IF($D51='W9'!$A$69,'W9'!D290,IF($D51='W9'!$A$70,'W9'!D290,IF($D51='W9'!$A$71,"")))))))))))))</f>
        <v/>
      </c>
      <c r="G51" s="379"/>
      <c r="H51" s="366" t="str">
        <f>IF($D51='W9'!$A$59,'W9'!D$59,IF($D51='W9'!$A$60,'W9'!D$60,IF($D51='W9'!$A$61,'W9'!D$61,IF($D51='W9'!$A$62,'W9'!D$62,IF($D51='W9'!$A$63,'W9'!D$63,IF($D51='W9'!$A$64,'W9'!D$64,IF($D51='W9'!$A$65,'W9'!D$65,IF($D51='W9'!$A$66,'W9'!D$66,IF($D51='W9'!$A$67,'W9'!D$67,IF($D51='W9'!$A$68,'W9'!F290,IF($D51='W9'!$A$69,'W9'!F290,IF($D51='W9'!$A$70,'W9'!F290,IF($D51='W9'!$A$71,"")))))))))))))</f>
        <v/>
      </c>
      <c r="I51" s="367"/>
      <c r="J51" s="366" t="str">
        <f>IF($D51='W9'!$A$59,'W9'!E$59,IF($D51='W9'!$A$60,'W9'!E$60,IF($D51='W9'!$A$61,'W9'!E$61,IF($D51='W9'!$A$62,'W9'!E$62,IF($D51='W9'!$A$63,'W9'!E$63,IF($D51='W9'!$A$64,'W9'!E$64,IF($D51='W9'!$A$65,'W9'!E$65,IF($D51='W9'!$A$66,'W9'!E$66,IF($D51='W9'!$A$67,'W9'!E$67,IF($D51='W9'!$A$68,'W9'!H290,IF($D51='W9'!$A$69,'W9'!H290,IF($D51='W9'!$A$70,'W9'!H290,IF($D51='W9'!$A$71,"")))))))))))))</f>
        <v/>
      </c>
      <c r="K51" s="367"/>
      <c r="L51" s="366" t="str">
        <f>IF($D51='W9'!$A$59,'W9'!F$59,IF($D51='W9'!$A$60,'W9'!F$60,IF($D51='W9'!$A$61,'W9'!F$61,IF($D51='W9'!$A$62,'W9'!F$62,IF($D51='W9'!$A$63,'W9'!F$63,IF($D51='W9'!$A$64,'W9'!F$64,IF($D51='W9'!$A$65,'W9'!F$65,IF($D51='W9'!$A$66,'W9'!F$66,IF($D51='W9'!$A$67,'W9'!F$67,IF($D51='W9'!$A$68,'W9'!J290,IF($D51='W9'!$A$69,'W9'!J290,IF($D51='W9'!$A$70,'W9'!J290,IF($D51='W9'!$A$71,"")))))))))))))</f>
        <v/>
      </c>
      <c r="M51" s="367"/>
      <c r="N51" s="187">
        <f ca="1">IF(N23=0,0,IF(AND($D51="F-SMRA",N23=0),0,IF(AND($D51="F-SMRB",N23=0),0,IF(AND($D51="F-SMRC",N23=0),0,IF($D51='W9'!$A$68,'W9'!B316,IF($D51='W9'!$A$69,'W9'!B316,IF($D51='W9'!$A$70,'W9'!B316,ROUND(('R9'!N23/'W9'!$C$5*'W9'!$C$9*(IF('R9'!$D51='W9'!$A$47,'W9'!B$47,IF('R9'!$D51='W9'!$A$48,'W9'!B$48,IF('R9'!$D51='W9'!$A$49,'W9'!B$49,IF('R9'!$D51='W9'!$A$50,'W9'!B$50,IF('R9'!$D51='W9'!$A$51,'W9'!B$51,IF('R9'!$D51='W9'!$A$52,'W9'!B$52,IF('R9'!$D51='W9'!$A$53,'W9'!B$53,IF('R9'!$D51='W9'!$A$54,'W9'!B$54,IF('R9'!$D51='W9'!$A$55,'W9'!B$55))))))))))),0)+ROUND(N23/'W9'!$C$5*'W9'!$C$10*(IF('R9'!$D51='W9'!$A$47,'W9'!C$47,IF('R9'!$D51='W9'!$A$48,'W9'!C$48,IF('R9'!$D51='W9'!$A$49,'W9'!C$49,IF('R9'!$D51='W9'!$A$50,'W9'!C$50,IF('R9'!$D51='W9'!$A$51,'W9'!C$51,IF('R9'!$D51='W9'!$A$52,'W9'!C$52,IF('R9'!$D51='W9'!$A$53,'W9'!C$53,IF('R9'!$D51='W9'!$A$54,'W9'!C$54,IF('R9'!$D51='W9'!$A$55,'W9'!C$55)))))))))),0))))))))</f>
        <v>0</v>
      </c>
      <c r="O51" s="187">
        <f ca="1">IF(O23=0,0,IF(AND($D51="F-SMRA",O23=0),0,IF(AND($D51="F-SMRB",O23=0),0,IF(AND($D51="F-SMRC",O23=0),0,IF($D51='W9'!$A$68,'W9'!D316,IF($D51='W9'!$A$69,'W9'!D316,IF($D51='W9'!$A$70,'W9'!D316,ROUND(('R9'!O23/'W9'!$D$5*'W9'!$D$9*(IF('R9'!$D51='W9'!$A$47,'W9'!D$47,IF('R9'!$D51='W9'!$A$48,'W9'!D$48,IF('R9'!$D51='W9'!$A$49,'W9'!D$49,IF('R9'!$D51='W9'!$A$50,'W9'!D$50,IF('R9'!$D51='W9'!$A$51,'W9'!D$51,IF('R9'!$D51='W9'!$A$52,'W9'!D$52,IF('R9'!$D51='W9'!$A$53,'W9'!D$53,IF('R9'!$D51='W9'!$A$54,'W9'!D$54,IF('R9'!$D51='W9'!$A$55,'W9'!D$55))))))))))),0)+ROUND(O23/'W9'!$D$5*'W9'!$D$10*(IF('R9'!$D51='W9'!$A$47,'W9'!E$47,IF('R9'!$D51='W9'!$A$48,'W9'!E$48,IF('R9'!$D51='W9'!$A$49,'W9'!E$49,IF('R9'!$D51='W9'!$A$50,'W9'!E$50,IF('R9'!$D51='W9'!$A$51,'W9'!E$51,IF('R9'!$D51='W9'!$A$52,'W9'!E$52,IF('R9'!$D51='W9'!$A$53,'W9'!E$53,IF('R9'!$D51='W9'!$A$54,'W9'!E$54,IF('R9'!$D51='W9'!$A$55,'W9'!E$55)))))))))),0))))))))</f>
        <v>0</v>
      </c>
      <c r="P51" s="187">
        <f ca="1">IF(P23=0,0,IF(AND($D51="F-SMRA",P23=0),0,IF(AND($D51="F-SMRB",P23=0),0,IF(AND($D51="F-SMRC",P23=0),0,IF($D51='W9'!$A$68,'W9'!F316,IF($D51='W9'!$A$69,'W9'!F316,IF($D51='W9'!$A$70,'W9'!F316,ROUND(('R9'!P23/'W9'!$E$5*'W9'!$E$9*(IF('R9'!$D51='W9'!$A$47,'W9'!F$47,IF('R9'!$D51='W9'!$A$48,'W9'!F$48,IF('R9'!$D51='W9'!$A$49,'W9'!F$49,IF('R9'!$D51='W9'!$A$50,'W9'!F$50,IF('R9'!$D51='W9'!$A$51,'W9'!F$51,IF('R9'!$D51='W9'!$A$52,'W9'!F$52,IF('R9'!$D51='W9'!$A$53,'W9'!F$53,IF('R9'!$D51='W9'!$A$54,'W9'!F$54,IF('R9'!$D51='W9'!$A$55,'W9'!F$55))))))))))),0)+ROUND(P23/'W9'!$E$5*'W9'!$E$10*(IF('R9'!$D51='W9'!$A$47,'W9'!G$47,IF('R9'!$D51='W9'!$A$48,'W9'!G$48,IF('R9'!$D51='W9'!$A$49,'W9'!G$49,IF('R9'!$D51='W9'!$A$50,'W9'!G$50,IF('R9'!$D51='W9'!$A$51,'W9'!G$51,IF('R9'!$D51='W9'!$A$52,'W9'!G$52,IF('R9'!$D51='W9'!$A$53,'W9'!G$53,IF('R9'!$D51='W9'!$A$54,'W9'!G$54,IF('R9'!$D51='W9'!$A$55,'W9'!G$55)))))))))),0))))))))</f>
        <v>0</v>
      </c>
      <c r="Q51" s="187">
        <f ca="1">IF(Q23=0,0,IF(AND($D51="F-SMRA",Q23=0),0,IF(AND($D51="F-SMRB",Q23=0),0,IF(AND($D51="F-SMRC",Q23=0),0,IF($D51='W9'!$A$68,'W9'!H316,IF($D51='W9'!$A$69,'W9'!H316,IF($D51='W9'!$A$70,'W9'!H316,ROUND(('R9'!Q23/'W9'!$F$5*'W9'!$F$9*(IF('R9'!$D51='W9'!$A$47,'W9'!H$47,IF('R9'!$D51='W9'!$A$48,'W9'!H$48,IF('R9'!$D51='W9'!$A$49,'W9'!H$49,IF('R9'!$D51='W9'!$A$50,'W9'!H$50,IF('R9'!$D51='W9'!$A$51,'W9'!H$51,IF('R9'!$D51='W9'!$A$52,'W9'!H$52,IF('R9'!$D51='W9'!$A$53,'W9'!H$53,IF('R9'!$D51='W9'!$A$54,'W9'!H$54,IF('R9'!$D51='W9'!$A$55,'W9'!H$55))))))))))),0)+ROUND(Q23/'W9'!$F$5*'W9'!$F$10*(IF('R9'!$D51='W9'!$A$47,'W9'!I$47,IF('R9'!$D51='W9'!$A$48,'W9'!I$48,IF('R9'!$D51='W9'!$A$49,'W9'!I$49,IF('R9'!$D51='W9'!$A$50,'W9'!I$50,IF('R9'!$D51='W9'!$A$51,'W9'!I$51,IF('R9'!$D51='W9'!$A$52,'W9'!I$52,IF('R9'!$D51='W9'!$A$53,'W9'!I$53,IF('R9'!$D51='W9'!$A$54,'W9'!I$54,IF('R9'!$D51='W9'!$A$55,'W9'!I$55)))))))))),0))))))))</f>
        <v>0</v>
      </c>
      <c r="R51" s="187">
        <f ca="1">IF(R23=0,0,IF(AND($D51="F-SMRA",R23=0),0,IF(AND($D51="F-SMRB",R23=0),0,IF(AND($D51="F-SMRC",R23=0),0,IF($D51='W9'!$A$68,'W9'!J316,IF($D51='W9'!$A$69,'W9'!J316,IF($D51='W9'!$A$70,'W9'!J316,ROUND(('R9'!R23/'W9'!$G$5*'W9'!$G$9*(IF('R9'!$D51='W9'!$A$47,'W9'!J$47,IF('R9'!$D51='W9'!$A$48,'W9'!J$48,IF('R9'!$D51='W9'!$A$49,'W9'!J$49,IF('R9'!$D51='W9'!$A$50,'W9'!J$50,IF('R9'!$D51='W9'!$A$51,'W9'!J$51,IF('R9'!$D51='W9'!$A$52,'W9'!J$52,IF('R9'!$D51='W9'!$A$53,'W9'!J$53,IF('R9'!$D51='W9'!$A$54,'W9'!J$54,IF('R9'!$D51='W9'!$A$55,'W9'!J$55))))))))))),0)+ROUND(R23/'W9'!$G$5*'W9'!$G$10*(IF('R9'!$D51='W9'!$A$47,'W9'!K$47,IF('R9'!$D51='W9'!$A$48,'W9'!K$48,IF('R9'!$D51='W9'!$A$49,'W9'!K$49,IF('R9'!$D51='W9'!$A$50,'W9'!K$50,IF('R9'!$D51='W9'!$A$51,'W9'!K$51,IF('R9'!$D51='W9'!$A$52,'W9'!K$52,IF('R9'!$D51='W9'!$A$53,'W9'!K$53,IF('R9'!$D51='W9'!$A$54,'W9'!K$54,IF('R9'!$D51='W9'!$A$55,'W9'!K$55)))))))))),0))))))))</f>
        <v>0</v>
      </c>
      <c r="S51" s="187">
        <f t="shared" ca="1" si="3"/>
        <v>0</v>
      </c>
      <c r="T51" s="248"/>
      <c r="U51" s="248"/>
      <c r="V51" s="248"/>
      <c r="W51" s="248"/>
      <c r="X51" s="248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</row>
    <row r="52" spans="1:51" hidden="1" x14ac:dyDescent="0.2">
      <c r="A52" s="92">
        <v>17</v>
      </c>
      <c r="B52" s="381">
        <f t="shared" si="2"/>
        <v>0</v>
      </c>
      <c r="C52" s="382"/>
      <c r="D52" s="199" t="s">
        <v>52</v>
      </c>
      <c r="E52" s="265" t="str">
        <f>IF($D52='W9'!$A$59,'W9'!B$59,IF($D52='W9'!$A$60,'W9'!B$60,IF($D52='W9'!$A$61,'W9'!B$61,IF($D52='W9'!$A$62,'W9'!B$62,IF($D52='W9'!$A$63,'W9'!B$63,IF($D52='W9'!$A$64,'W9'!B$64,IF($D52='W9'!$A$65,'W9'!B$65,IF($D52='W9'!$A$66,'W9'!B$66,IF($D52='W9'!$A$67,'W9'!B$67,IF($D52='W9'!$A$68,'W9'!B291,IF($D52='W9'!$A$69,'W9'!B291,IF($D52='W9'!$A$70,'W9'!B291,IF($D52='W9'!$A$71,"")))))))))))))</f>
        <v/>
      </c>
      <c r="F52" s="378" t="str">
        <f>IF($D52='W9'!$A$59,'W9'!C$59,IF($D52='W9'!$A$60,'W9'!C$60,IF($D52='W9'!$A$61,'W9'!C$61,IF($D52='W9'!$A$62,'W9'!C$62,IF($D52='W9'!$A$63,'W9'!C$63,IF($D52='W9'!$A$64,'W9'!C$64,IF($D52='W9'!$A$65,'W9'!C$65,IF($D52='W9'!$A$66,'W9'!C$66,IF($D52='W9'!$A$67,'W9'!C$67,IF($D52='W9'!$A$68,'W9'!D291,IF($D52='W9'!$A$69,'W9'!D291,IF($D52='W9'!$A$70,'W9'!D291,IF($D52='W9'!$A$71,"")))))))))))))</f>
        <v/>
      </c>
      <c r="G52" s="379"/>
      <c r="H52" s="366" t="str">
        <f>IF($D52='W9'!$A$59,'W9'!D$59,IF($D52='W9'!$A$60,'W9'!D$60,IF($D52='W9'!$A$61,'W9'!D$61,IF($D52='W9'!$A$62,'W9'!D$62,IF($D52='W9'!$A$63,'W9'!D$63,IF($D52='W9'!$A$64,'W9'!D$64,IF($D52='W9'!$A$65,'W9'!D$65,IF($D52='W9'!$A$66,'W9'!D$66,IF($D52='W9'!$A$67,'W9'!D$67,IF($D52='W9'!$A$68,'W9'!F291,IF($D52='W9'!$A$69,'W9'!F291,IF($D52='W9'!$A$70,'W9'!F291,IF($D52='W9'!$A$71,"")))))))))))))</f>
        <v/>
      </c>
      <c r="I52" s="367"/>
      <c r="J52" s="366" t="str">
        <f>IF($D52='W9'!$A$59,'W9'!E$59,IF($D52='W9'!$A$60,'W9'!E$60,IF($D52='W9'!$A$61,'W9'!E$61,IF($D52='W9'!$A$62,'W9'!E$62,IF($D52='W9'!$A$63,'W9'!E$63,IF($D52='W9'!$A$64,'W9'!E$64,IF($D52='W9'!$A$65,'W9'!E$65,IF($D52='W9'!$A$66,'W9'!E$66,IF($D52='W9'!$A$67,'W9'!E$67,IF($D52='W9'!$A$68,'W9'!H291,IF($D52='W9'!$A$69,'W9'!H291,IF($D52='W9'!$A$70,'W9'!H291,IF($D52='W9'!$A$71,"")))))))))))))</f>
        <v/>
      </c>
      <c r="K52" s="367"/>
      <c r="L52" s="366" t="str">
        <f>IF($D52='W9'!$A$59,'W9'!F$59,IF($D52='W9'!$A$60,'W9'!F$60,IF($D52='W9'!$A$61,'W9'!F$61,IF($D52='W9'!$A$62,'W9'!F$62,IF($D52='W9'!$A$63,'W9'!F$63,IF($D52='W9'!$A$64,'W9'!F$64,IF($D52='W9'!$A$65,'W9'!F$65,IF($D52='W9'!$A$66,'W9'!F$66,IF($D52='W9'!$A$67,'W9'!F$67,IF($D52='W9'!$A$68,'W9'!J291,IF($D52='W9'!$A$69,'W9'!J291,IF($D52='W9'!$A$70,'W9'!J291,IF($D52='W9'!$A$71,"")))))))))))))</f>
        <v/>
      </c>
      <c r="M52" s="367"/>
      <c r="N52" s="187">
        <f ca="1">IF(N24=0,0,IF(AND($D52="F-SMRA",N24=0),0,IF(AND($D52="F-SMRB",N24=0),0,IF(AND($D52="F-SMRC",N24=0),0,IF($D52='W9'!$A$68,'W9'!B317,IF($D52='W9'!$A$69,'W9'!B317,IF($D52='W9'!$A$70,'W9'!B317,ROUND(('R9'!N24/'W9'!$C$5*'W9'!$C$9*(IF('R9'!$D52='W9'!$A$47,'W9'!B$47,IF('R9'!$D52='W9'!$A$48,'W9'!B$48,IF('R9'!$D52='W9'!$A$49,'W9'!B$49,IF('R9'!$D52='W9'!$A$50,'W9'!B$50,IF('R9'!$D52='W9'!$A$51,'W9'!B$51,IF('R9'!$D52='W9'!$A$52,'W9'!B$52,IF('R9'!$D52='W9'!$A$53,'W9'!B$53,IF('R9'!$D52='W9'!$A$54,'W9'!B$54,IF('R9'!$D52='W9'!$A$55,'W9'!B$55))))))))))),0)+ROUND(N24/'W9'!$C$5*'W9'!$C$10*(IF('R9'!$D52='W9'!$A$47,'W9'!C$47,IF('R9'!$D52='W9'!$A$48,'W9'!C$48,IF('R9'!$D52='W9'!$A$49,'W9'!C$49,IF('R9'!$D52='W9'!$A$50,'W9'!C$50,IF('R9'!$D52='W9'!$A$51,'W9'!C$51,IF('R9'!$D52='W9'!$A$52,'W9'!C$52,IF('R9'!$D52='W9'!$A$53,'W9'!C$53,IF('R9'!$D52='W9'!$A$54,'W9'!C$54,IF('R9'!$D52='W9'!$A$55,'W9'!C$55)))))))))),0))))))))</f>
        <v>0</v>
      </c>
      <c r="O52" s="187">
        <f ca="1">IF(O24=0,0,IF(AND($D52="F-SMRA",O24=0),0,IF(AND($D52="F-SMRB",O24=0),0,IF(AND($D52="F-SMRC",O24=0),0,IF($D52='W9'!$A$68,'W9'!D317,IF($D52='W9'!$A$69,'W9'!D317,IF($D52='W9'!$A$70,'W9'!D317,ROUND(('R9'!O24/'W9'!$D$5*'W9'!$D$9*(IF('R9'!$D52='W9'!$A$47,'W9'!D$47,IF('R9'!$D52='W9'!$A$48,'W9'!D$48,IF('R9'!$D52='W9'!$A$49,'W9'!D$49,IF('R9'!$D52='W9'!$A$50,'W9'!D$50,IF('R9'!$D52='W9'!$A$51,'W9'!D$51,IF('R9'!$D52='W9'!$A$52,'W9'!D$52,IF('R9'!$D52='W9'!$A$53,'W9'!D$53,IF('R9'!$D52='W9'!$A$54,'W9'!D$54,IF('R9'!$D52='W9'!$A$55,'W9'!D$55))))))))))),0)+ROUND(O24/'W9'!$D$5*'W9'!$D$10*(IF('R9'!$D52='W9'!$A$47,'W9'!E$47,IF('R9'!$D52='W9'!$A$48,'W9'!E$48,IF('R9'!$D52='W9'!$A$49,'W9'!E$49,IF('R9'!$D52='W9'!$A$50,'W9'!E$50,IF('R9'!$D52='W9'!$A$51,'W9'!E$51,IF('R9'!$D52='W9'!$A$52,'W9'!E$52,IF('R9'!$D52='W9'!$A$53,'W9'!E$53,IF('R9'!$D52='W9'!$A$54,'W9'!E$54,IF('R9'!$D52='W9'!$A$55,'W9'!E$55)))))))))),0))))))))</f>
        <v>0</v>
      </c>
      <c r="P52" s="187">
        <f ca="1">IF(P24=0,0,IF(AND($D52="F-SMRA",P24=0),0,IF(AND($D52="F-SMRB",P24=0),0,IF(AND($D52="F-SMRC",P24=0),0,IF($D52='W9'!$A$68,'W9'!F317,IF($D52='W9'!$A$69,'W9'!F317,IF($D52='W9'!$A$70,'W9'!F317,ROUND(('R9'!P24/'W9'!$E$5*'W9'!$E$9*(IF('R9'!$D52='W9'!$A$47,'W9'!F$47,IF('R9'!$D52='W9'!$A$48,'W9'!F$48,IF('R9'!$D52='W9'!$A$49,'W9'!F$49,IF('R9'!$D52='W9'!$A$50,'W9'!F$50,IF('R9'!$D52='W9'!$A$51,'W9'!F$51,IF('R9'!$D52='W9'!$A$52,'W9'!F$52,IF('R9'!$D52='W9'!$A$53,'W9'!F$53,IF('R9'!$D52='W9'!$A$54,'W9'!F$54,IF('R9'!$D52='W9'!$A$55,'W9'!F$55))))))))))),0)+ROUND(P24/'W9'!$E$5*'W9'!$E$10*(IF('R9'!$D52='W9'!$A$47,'W9'!G$47,IF('R9'!$D52='W9'!$A$48,'W9'!G$48,IF('R9'!$D52='W9'!$A$49,'W9'!G$49,IF('R9'!$D52='W9'!$A$50,'W9'!G$50,IF('R9'!$D52='W9'!$A$51,'W9'!G$51,IF('R9'!$D52='W9'!$A$52,'W9'!G$52,IF('R9'!$D52='W9'!$A$53,'W9'!G$53,IF('R9'!$D52='W9'!$A$54,'W9'!G$54,IF('R9'!$D52='W9'!$A$55,'W9'!G$55)))))))))),0))))))))</f>
        <v>0</v>
      </c>
      <c r="Q52" s="187">
        <f ca="1">IF(Q24=0,0,IF(AND($D52="F-SMRA",Q24=0),0,IF(AND($D52="F-SMRB",Q24=0),0,IF(AND($D52="F-SMRC",Q24=0),0,IF($D52='W9'!$A$68,'W9'!H317,IF($D52='W9'!$A$69,'W9'!H317,IF($D52='W9'!$A$70,'W9'!H317,ROUND(('R9'!Q24/'W9'!$F$5*'W9'!$F$9*(IF('R9'!$D52='W9'!$A$47,'W9'!H$47,IF('R9'!$D52='W9'!$A$48,'W9'!H$48,IF('R9'!$D52='W9'!$A$49,'W9'!H$49,IF('R9'!$D52='W9'!$A$50,'W9'!H$50,IF('R9'!$D52='W9'!$A$51,'W9'!H$51,IF('R9'!$D52='W9'!$A$52,'W9'!H$52,IF('R9'!$D52='W9'!$A$53,'W9'!H$53,IF('R9'!$D52='W9'!$A$54,'W9'!H$54,IF('R9'!$D52='W9'!$A$55,'W9'!H$55))))))))))),0)+ROUND(Q24/'W9'!$F$5*'W9'!$F$10*(IF('R9'!$D52='W9'!$A$47,'W9'!I$47,IF('R9'!$D52='W9'!$A$48,'W9'!I$48,IF('R9'!$D52='W9'!$A$49,'W9'!I$49,IF('R9'!$D52='W9'!$A$50,'W9'!I$50,IF('R9'!$D52='W9'!$A$51,'W9'!I$51,IF('R9'!$D52='W9'!$A$52,'W9'!I$52,IF('R9'!$D52='W9'!$A$53,'W9'!I$53,IF('R9'!$D52='W9'!$A$54,'W9'!I$54,IF('R9'!$D52='W9'!$A$55,'W9'!I$55)))))))))),0))))))))</f>
        <v>0</v>
      </c>
      <c r="R52" s="187">
        <f ca="1">IF(R24=0,0,IF(AND($D52="F-SMRA",R24=0),0,IF(AND($D52="F-SMRB",R24=0),0,IF(AND($D52="F-SMRC",R24=0),0,IF($D52='W9'!$A$68,'W9'!J317,IF($D52='W9'!$A$69,'W9'!J317,IF($D52='W9'!$A$70,'W9'!J317,ROUND(('R9'!R24/'W9'!$G$5*'W9'!$G$9*(IF('R9'!$D52='W9'!$A$47,'W9'!J$47,IF('R9'!$D52='W9'!$A$48,'W9'!J$48,IF('R9'!$D52='W9'!$A$49,'W9'!J$49,IF('R9'!$D52='W9'!$A$50,'W9'!J$50,IF('R9'!$D52='W9'!$A$51,'W9'!J$51,IF('R9'!$D52='W9'!$A$52,'W9'!J$52,IF('R9'!$D52='W9'!$A$53,'W9'!J$53,IF('R9'!$D52='W9'!$A$54,'W9'!J$54,IF('R9'!$D52='W9'!$A$55,'W9'!J$55))))))))))),0)+ROUND(R24/'W9'!$G$5*'W9'!$G$10*(IF('R9'!$D52='W9'!$A$47,'W9'!K$47,IF('R9'!$D52='W9'!$A$48,'W9'!K$48,IF('R9'!$D52='W9'!$A$49,'W9'!K$49,IF('R9'!$D52='W9'!$A$50,'W9'!K$50,IF('R9'!$D52='W9'!$A$51,'W9'!K$51,IF('R9'!$D52='W9'!$A$52,'W9'!K$52,IF('R9'!$D52='W9'!$A$53,'W9'!K$53,IF('R9'!$D52='W9'!$A$54,'W9'!K$54,IF('R9'!$D52='W9'!$A$55,'W9'!K$55)))))))))),0))))))))</f>
        <v>0</v>
      </c>
      <c r="S52" s="187">
        <f t="shared" ca="1" si="3"/>
        <v>0</v>
      </c>
      <c r="T52" s="248"/>
      <c r="U52" s="248"/>
      <c r="V52" s="248"/>
      <c r="W52" s="248"/>
      <c r="X52" s="248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</row>
    <row r="53" spans="1:51" hidden="1" x14ac:dyDescent="0.2">
      <c r="A53" s="92">
        <v>18</v>
      </c>
      <c r="B53" s="381">
        <f t="shared" si="2"/>
        <v>0</v>
      </c>
      <c r="C53" s="382"/>
      <c r="D53" s="199" t="s">
        <v>52</v>
      </c>
      <c r="E53" s="265" t="str">
        <f>IF($D53='W9'!$A$59,'W9'!B$59,IF($D53='W9'!$A$60,'W9'!B$60,IF($D53='W9'!$A$61,'W9'!B$61,IF($D53='W9'!$A$62,'W9'!B$62,IF($D53='W9'!$A$63,'W9'!B$63,IF($D53='W9'!$A$64,'W9'!B$64,IF($D53='W9'!$A$65,'W9'!B$65,IF($D53='W9'!$A$66,'W9'!B$66,IF($D53='W9'!$A$67,'W9'!B$67,IF($D53='W9'!$A$68,'W9'!B292,IF($D53='W9'!$A$69,'W9'!B292,IF($D53='W9'!$A$70,'W9'!B292,IF($D53='W9'!$A$71,"")))))))))))))</f>
        <v/>
      </c>
      <c r="F53" s="378" t="str">
        <f>IF($D53='W9'!$A$59,'W9'!C$59,IF($D53='W9'!$A$60,'W9'!C$60,IF($D53='W9'!$A$61,'W9'!C$61,IF($D53='W9'!$A$62,'W9'!C$62,IF($D53='W9'!$A$63,'W9'!C$63,IF($D53='W9'!$A$64,'W9'!C$64,IF($D53='W9'!$A$65,'W9'!C$65,IF($D53='W9'!$A$66,'W9'!C$66,IF($D53='W9'!$A$67,'W9'!C$67,IF($D53='W9'!$A$68,'W9'!D292,IF($D53='W9'!$A$69,'W9'!D292,IF($D53='W9'!$A$70,'W9'!D292,IF($D53='W9'!$A$71,"")))))))))))))</f>
        <v/>
      </c>
      <c r="G53" s="379"/>
      <c r="H53" s="366" t="str">
        <f>IF($D53='W9'!$A$59,'W9'!D$59,IF($D53='W9'!$A$60,'W9'!D$60,IF($D53='W9'!$A$61,'W9'!D$61,IF($D53='W9'!$A$62,'W9'!D$62,IF($D53='W9'!$A$63,'W9'!D$63,IF($D53='W9'!$A$64,'W9'!D$64,IF($D53='W9'!$A$65,'W9'!D$65,IF($D53='W9'!$A$66,'W9'!D$66,IF($D53='W9'!$A$67,'W9'!D$67,IF($D53='W9'!$A$68,'W9'!F292,IF($D53='W9'!$A$69,'W9'!F292,IF($D53='W9'!$A$70,'W9'!F292,IF($D53='W9'!$A$71,"")))))))))))))</f>
        <v/>
      </c>
      <c r="I53" s="367"/>
      <c r="J53" s="366" t="str">
        <f>IF($D53='W9'!$A$59,'W9'!E$59,IF($D53='W9'!$A$60,'W9'!E$60,IF($D53='W9'!$A$61,'W9'!E$61,IF($D53='W9'!$A$62,'W9'!E$62,IF($D53='W9'!$A$63,'W9'!E$63,IF($D53='W9'!$A$64,'W9'!E$64,IF($D53='W9'!$A$65,'W9'!E$65,IF($D53='W9'!$A$66,'W9'!E$66,IF($D53='W9'!$A$67,'W9'!E$67,IF($D53='W9'!$A$68,'W9'!H292,IF($D53='W9'!$A$69,'W9'!H292,IF($D53='W9'!$A$70,'W9'!H292,IF($D53='W9'!$A$71,"")))))))))))))</f>
        <v/>
      </c>
      <c r="K53" s="367"/>
      <c r="L53" s="366" t="str">
        <f>IF($D53='W9'!$A$59,'W9'!F$59,IF($D53='W9'!$A$60,'W9'!F$60,IF($D53='W9'!$A$61,'W9'!F$61,IF($D53='W9'!$A$62,'W9'!F$62,IF($D53='W9'!$A$63,'W9'!F$63,IF($D53='W9'!$A$64,'W9'!F$64,IF($D53='W9'!$A$65,'W9'!F$65,IF($D53='W9'!$A$66,'W9'!F$66,IF($D53='W9'!$A$67,'W9'!F$67,IF($D53='W9'!$A$68,'W9'!J292,IF($D53='W9'!$A$69,'W9'!J292,IF($D53='W9'!$A$70,'W9'!J292,IF($D53='W9'!$A$71,"")))))))))))))</f>
        <v/>
      </c>
      <c r="M53" s="367"/>
      <c r="N53" s="187">
        <f ca="1">IF(N25=0,0,IF(AND($D53="F-SMRA",N25=0),0,IF(AND($D53="F-SMRB",N25=0),0,IF(AND($D53="F-SMRC",N25=0),0,IF($D53='W9'!$A$68,'W9'!B318,IF($D53='W9'!$A$69,'W9'!B318,IF($D53='W9'!$A$70,'W9'!B318,ROUND(('R9'!N25/'W9'!$C$5*'W9'!$C$9*(IF('R9'!$D53='W9'!$A$47,'W9'!B$47,IF('R9'!$D53='W9'!$A$48,'W9'!B$48,IF('R9'!$D53='W9'!$A$49,'W9'!B$49,IF('R9'!$D53='W9'!$A$50,'W9'!B$50,IF('R9'!$D53='W9'!$A$51,'W9'!B$51,IF('R9'!$D53='W9'!$A$52,'W9'!B$52,IF('R9'!$D53='W9'!$A$53,'W9'!B$53,IF('R9'!$D53='W9'!$A$54,'W9'!B$54,IF('R9'!$D53='W9'!$A$55,'W9'!B$55))))))))))),0)+ROUND(N25/'W9'!$C$5*'W9'!$C$10*(IF('R9'!$D53='W9'!$A$47,'W9'!C$47,IF('R9'!$D53='W9'!$A$48,'W9'!C$48,IF('R9'!$D53='W9'!$A$49,'W9'!C$49,IF('R9'!$D53='W9'!$A$50,'W9'!C$50,IF('R9'!$D53='W9'!$A$51,'W9'!C$51,IF('R9'!$D53='W9'!$A$52,'W9'!C$52,IF('R9'!$D53='W9'!$A$53,'W9'!C$53,IF('R9'!$D53='W9'!$A$54,'W9'!C$54,IF('R9'!$D53='W9'!$A$55,'W9'!C$55)))))))))),0))))))))</f>
        <v>0</v>
      </c>
      <c r="O53" s="187">
        <f ca="1">IF(O25=0,0,IF(AND($D53="F-SMRA",O25=0),0,IF(AND($D53="F-SMRB",O25=0),0,IF(AND($D53="F-SMRC",O25=0),0,IF($D53='W9'!$A$68,'W9'!D318,IF($D53='W9'!$A$69,'W9'!D318,IF($D53='W9'!$A$70,'W9'!D318,ROUND(('R9'!O25/'W9'!$D$5*'W9'!$D$9*(IF('R9'!$D53='W9'!$A$47,'W9'!D$47,IF('R9'!$D53='W9'!$A$48,'W9'!D$48,IF('R9'!$D53='W9'!$A$49,'W9'!D$49,IF('R9'!$D53='W9'!$A$50,'W9'!D$50,IF('R9'!$D53='W9'!$A$51,'W9'!D$51,IF('R9'!$D53='W9'!$A$52,'W9'!D$52,IF('R9'!$D53='W9'!$A$53,'W9'!D$53,IF('R9'!$D53='W9'!$A$54,'W9'!D$54,IF('R9'!$D53='W9'!$A$55,'W9'!D$55))))))))))),0)+ROUND(O25/'W9'!$D$5*'W9'!$D$10*(IF('R9'!$D53='W9'!$A$47,'W9'!E$47,IF('R9'!$D53='W9'!$A$48,'W9'!E$48,IF('R9'!$D53='W9'!$A$49,'W9'!E$49,IF('R9'!$D53='W9'!$A$50,'W9'!E$50,IF('R9'!$D53='W9'!$A$51,'W9'!E$51,IF('R9'!$D53='W9'!$A$52,'W9'!E$52,IF('R9'!$D53='W9'!$A$53,'W9'!E$53,IF('R9'!$D53='W9'!$A$54,'W9'!E$54,IF('R9'!$D53='W9'!$A$55,'W9'!E$55)))))))))),0))))))))</f>
        <v>0</v>
      </c>
      <c r="P53" s="187">
        <f ca="1">IF(P25=0,0,IF(AND($D53="F-SMRA",P25=0),0,IF(AND($D53="F-SMRB",P25=0),0,IF(AND($D53="F-SMRC",P25=0),0,IF($D53='W9'!$A$68,'W9'!F318,IF($D53='W9'!$A$69,'W9'!F318,IF($D53='W9'!$A$70,'W9'!F318,ROUND(('R9'!P25/'W9'!$E$5*'W9'!$E$9*(IF('R9'!$D53='W9'!$A$47,'W9'!F$47,IF('R9'!$D53='W9'!$A$48,'W9'!F$48,IF('R9'!$D53='W9'!$A$49,'W9'!F$49,IF('R9'!$D53='W9'!$A$50,'W9'!F$50,IF('R9'!$D53='W9'!$A$51,'W9'!F$51,IF('R9'!$D53='W9'!$A$52,'W9'!F$52,IF('R9'!$D53='W9'!$A$53,'W9'!F$53,IF('R9'!$D53='W9'!$A$54,'W9'!F$54,IF('R9'!$D53='W9'!$A$55,'W9'!F$55))))))))))),0)+ROUND(P25/'W9'!$E$5*'W9'!$E$10*(IF('R9'!$D53='W9'!$A$47,'W9'!G$47,IF('R9'!$D53='W9'!$A$48,'W9'!G$48,IF('R9'!$D53='W9'!$A$49,'W9'!G$49,IF('R9'!$D53='W9'!$A$50,'W9'!G$50,IF('R9'!$D53='W9'!$A$51,'W9'!G$51,IF('R9'!$D53='W9'!$A$52,'W9'!G$52,IF('R9'!$D53='W9'!$A$53,'W9'!G$53,IF('R9'!$D53='W9'!$A$54,'W9'!G$54,IF('R9'!$D53='W9'!$A$55,'W9'!G$55)))))))))),0))))))))</f>
        <v>0</v>
      </c>
      <c r="Q53" s="187">
        <f ca="1">IF(Q25=0,0,IF(AND($D53="F-SMRA",Q25=0),0,IF(AND($D53="F-SMRB",Q25=0),0,IF(AND($D53="F-SMRC",Q25=0),0,IF($D53='W9'!$A$68,'W9'!H318,IF($D53='W9'!$A$69,'W9'!H318,IF($D53='W9'!$A$70,'W9'!H318,ROUND(('R9'!Q25/'W9'!$F$5*'W9'!$F$9*(IF('R9'!$D53='W9'!$A$47,'W9'!H$47,IF('R9'!$D53='W9'!$A$48,'W9'!H$48,IF('R9'!$D53='W9'!$A$49,'W9'!H$49,IF('R9'!$D53='W9'!$A$50,'W9'!H$50,IF('R9'!$D53='W9'!$A$51,'W9'!H$51,IF('R9'!$D53='W9'!$A$52,'W9'!H$52,IF('R9'!$D53='W9'!$A$53,'W9'!H$53,IF('R9'!$D53='W9'!$A$54,'W9'!H$54,IF('R9'!$D53='W9'!$A$55,'W9'!H$55))))))))))),0)+ROUND(Q25/'W9'!$F$5*'W9'!$F$10*(IF('R9'!$D53='W9'!$A$47,'W9'!I$47,IF('R9'!$D53='W9'!$A$48,'W9'!I$48,IF('R9'!$D53='W9'!$A$49,'W9'!I$49,IF('R9'!$D53='W9'!$A$50,'W9'!I$50,IF('R9'!$D53='W9'!$A$51,'W9'!I$51,IF('R9'!$D53='W9'!$A$52,'W9'!I$52,IF('R9'!$D53='W9'!$A$53,'W9'!I$53,IF('R9'!$D53='W9'!$A$54,'W9'!I$54,IF('R9'!$D53='W9'!$A$55,'W9'!I$55)))))))))),0))))))))</f>
        <v>0</v>
      </c>
      <c r="R53" s="187">
        <f ca="1">IF(R25=0,0,IF(AND($D53="F-SMRA",R25=0),0,IF(AND($D53="F-SMRB",R25=0),0,IF(AND($D53="F-SMRC",R25=0),0,IF($D53='W9'!$A$68,'W9'!J318,IF($D53='W9'!$A$69,'W9'!J318,IF($D53='W9'!$A$70,'W9'!J318,ROUND(('R9'!R25/'W9'!$G$5*'W9'!$G$9*(IF('R9'!$D53='W9'!$A$47,'W9'!J$47,IF('R9'!$D53='W9'!$A$48,'W9'!J$48,IF('R9'!$D53='W9'!$A$49,'W9'!J$49,IF('R9'!$D53='W9'!$A$50,'W9'!J$50,IF('R9'!$D53='W9'!$A$51,'W9'!J$51,IF('R9'!$D53='W9'!$A$52,'W9'!J$52,IF('R9'!$D53='W9'!$A$53,'W9'!J$53,IF('R9'!$D53='W9'!$A$54,'W9'!J$54,IF('R9'!$D53='W9'!$A$55,'W9'!J$55))))))))))),0)+ROUND(R25/'W9'!$G$5*'W9'!$G$10*(IF('R9'!$D53='W9'!$A$47,'W9'!K$47,IF('R9'!$D53='W9'!$A$48,'W9'!K$48,IF('R9'!$D53='W9'!$A$49,'W9'!K$49,IF('R9'!$D53='W9'!$A$50,'W9'!K$50,IF('R9'!$D53='W9'!$A$51,'W9'!K$51,IF('R9'!$D53='W9'!$A$52,'W9'!K$52,IF('R9'!$D53='W9'!$A$53,'W9'!K$53,IF('R9'!$D53='W9'!$A$54,'W9'!K$54,IF('R9'!$D53='W9'!$A$55,'W9'!K$55)))))))))),0))))))))</f>
        <v>0</v>
      </c>
      <c r="S53" s="187">
        <f t="shared" ca="1" si="3"/>
        <v>0</v>
      </c>
      <c r="T53" s="248"/>
      <c r="U53" s="248"/>
      <c r="V53" s="248"/>
      <c r="W53" s="248"/>
      <c r="X53" s="248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</row>
    <row r="54" spans="1:51" hidden="1" x14ac:dyDescent="0.2">
      <c r="A54" s="92">
        <v>19</v>
      </c>
      <c r="B54" s="381">
        <f t="shared" si="2"/>
        <v>0</v>
      </c>
      <c r="C54" s="382"/>
      <c r="D54" s="199" t="s">
        <v>52</v>
      </c>
      <c r="E54" s="265" t="str">
        <f>IF($D54='W9'!$A$59,'W9'!B$59,IF($D54='W9'!$A$60,'W9'!B$60,IF($D54='W9'!$A$61,'W9'!B$61,IF($D54='W9'!$A$62,'W9'!B$62,IF($D54='W9'!$A$63,'W9'!B$63,IF($D54='W9'!$A$64,'W9'!B$64,IF($D54='W9'!$A$65,'W9'!B$65,IF($D54='W9'!$A$66,'W9'!B$66,IF($D54='W9'!$A$67,'W9'!B$67,IF($D54='W9'!$A$68,'W9'!B293,IF($D54='W9'!$A$69,'W9'!B293,IF($D54='W9'!$A$70,'W9'!B293,IF($D54='W9'!$A$71,"")))))))))))))</f>
        <v/>
      </c>
      <c r="F54" s="378" t="str">
        <f>IF($D54='W9'!$A$59,'W9'!C$59,IF($D54='W9'!$A$60,'W9'!C$60,IF($D54='W9'!$A$61,'W9'!C$61,IF($D54='W9'!$A$62,'W9'!C$62,IF($D54='W9'!$A$63,'W9'!C$63,IF($D54='W9'!$A$64,'W9'!C$64,IF($D54='W9'!$A$65,'W9'!C$65,IF($D54='W9'!$A$66,'W9'!C$66,IF($D54='W9'!$A$67,'W9'!C$67,IF($D54='W9'!$A$68,'W9'!D293,IF($D54='W9'!$A$69,'W9'!D293,IF($D54='W9'!$A$70,'W9'!D293,IF($D54='W9'!$A$71,"")))))))))))))</f>
        <v/>
      </c>
      <c r="G54" s="379"/>
      <c r="H54" s="366" t="str">
        <f>IF($D54='W9'!$A$59,'W9'!D$59,IF($D54='W9'!$A$60,'W9'!D$60,IF($D54='W9'!$A$61,'W9'!D$61,IF($D54='W9'!$A$62,'W9'!D$62,IF($D54='W9'!$A$63,'W9'!D$63,IF($D54='W9'!$A$64,'W9'!D$64,IF($D54='W9'!$A$65,'W9'!D$65,IF($D54='W9'!$A$66,'W9'!D$66,IF($D54='W9'!$A$67,'W9'!D$67,IF($D54='W9'!$A$68,'W9'!F293,IF($D54='W9'!$A$69,'W9'!F293,IF($D54='W9'!$A$70,'W9'!F293,IF($D54='W9'!$A$71,"")))))))))))))</f>
        <v/>
      </c>
      <c r="I54" s="367"/>
      <c r="J54" s="366" t="str">
        <f>IF($D54='W9'!$A$59,'W9'!E$59,IF($D54='W9'!$A$60,'W9'!E$60,IF($D54='W9'!$A$61,'W9'!E$61,IF($D54='W9'!$A$62,'W9'!E$62,IF($D54='W9'!$A$63,'W9'!E$63,IF($D54='W9'!$A$64,'W9'!E$64,IF($D54='W9'!$A$65,'W9'!E$65,IF($D54='W9'!$A$66,'W9'!E$66,IF($D54='W9'!$A$67,'W9'!E$67,IF($D54='W9'!$A$68,'W9'!H293,IF($D54='W9'!$A$69,'W9'!H293,IF($D54='W9'!$A$70,'W9'!H293,IF($D54='W9'!$A$71,"")))))))))))))</f>
        <v/>
      </c>
      <c r="K54" s="367"/>
      <c r="L54" s="366" t="str">
        <f>IF($D54='W9'!$A$59,'W9'!F$59,IF($D54='W9'!$A$60,'W9'!F$60,IF($D54='W9'!$A$61,'W9'!F$61,IF($D54='W9'!$A$62,'W9'!F$62,IF($D54='W9'!$A$63,'W9'!F$63,IF($D54='W9'!$A$64,'W9'!F$64,IF($D54='W9'!$A$65,'W9'!F$65,IF($D54='W9'!$A$66,'W9'!F$66,IF($D54='W9'!$A$67,'W9'!F$67,IF($D54='W9'!$A$68,'W9'!J293,IF($D54='W9'!$A$69,'W9'!J293,IF($D54='W9'!$A$70,'W9'!J293,IF($D54='W9'!$A$71,"")))))))))))))</f>
        <v/>
      </c>
      <c r="M54" s="367"/>
      <c r="N54" s="187">
        <f ca="1">IF(N26=0,0,IF(AND($D54="F-SMRA",N26=0),0,IF(AND($D54="F-SMRB",N26=0),0,IF(AND($D54="F-SMRC",N26=0),0,IF($D54='W9'!$A$68,'W9'!B319,IF($D54='W9'!$A$69,'W9'!B319,IF($D54='W9'!$A$70,'W9'!B319,ROUND(('R9'!N26/'W9'!$C$5*'W9'!$C$9*(IF('R9'!$D54='W9'!$A$47,'W9'!B$47,IF('R9'!$D54='W9'!$A$48,'W9'!B$48,IF('R9'!$D54='W9'!$A$49,'W9'!B$49,IF('R9'!$D54='W9'!$A$50,'W9'!B$50,IF('R9'!$D54='W9'!$A$51,'W9'!B$51,IF('R9'!$D54='W9'!$A$52,'W9'!B$52,IF('R9'!$D54='W9'!$A$53,'W9'!B$53,IF('R9'!$D54='W9'!$A$54,'W9'!B$54,IF('R9'!$D54='W9'!$A$55,'W9'!B$55))))))))))),0)+ROUND(N26/'W9'!$C$5*'W9'!$C$10*(IF('R9'!$D54='W9'!$A$47,'W9'!C$47,IF('R9'!$D54='W9'!$A$48,'W9'!C$48,IF('R9'!$D54='W9'!$A$49,'W9'!C$49,IF('R9'!$D54='W9'!$A$50,'W9'!C$50,IF('R9'!$D54='W9'!$A$51,'W9'!C$51,IF('R9'!$D54='W9'!$A$52,'W9'!C$52,IF('R9'!$D54='W9'!$A$53,'W9'!C$53,IF('R9'!$D54='W9'!$A$54,'W9'!C$54,IF('R9'!$D54='W9'!$A$55,'W9'!C$55)))))))))),0))))))))</f>
        <v>0</v>
      </c>
      <c r="O54" s="187">
        <f ca="1">IF(O26=0,0,IF(AND($D54="F-SMRA",O26=0),0,IF(AND($D54="F-SMRB",O26=0),0,IF(AND($D54="F-SMRC",O26=0),0,IF($D54='W9'!$A$68,'W9'!D319,IF($D54='W9'!$A$69,'W9'!D319,IF($D54='W9'!$A$70,'W9'!D319,ROUND(('R9'!O26/'W9'!$D$5*'W9'!$D$9*(IF('R9'!$D54='W9'!$A$47,'W9'!D$47,IF('R9'!$D54='W9'!$A$48,'W9'!D$48,IF('R9'!$D54='W9'!$A$49,'W9'!D$49,IF('R9'!$D54='W9'!$A$50,'W9'!D$50,IF('R9'!$D54='W9'!$A$51,'W9'!D$51,IF('R9'!$D54='W9'!$A$52,'W9'!D$52,IF('R9'!$D54='W9'!$A$53,'W9'!D$53,IF('R9'!$D54='W9'!$A$54,'W9'!D$54,IF('R9'!$D54='W9'!$A$55,'W9'!D$55))))))))))),0)+ROUND(O26/'W9'!$D$5*'W9'!$D$10*(IF('R9'!$D54='W9'!$A$47,'W9'!E$47,IF('R9'!$D54='W9'!$A$48,'W9'!E$48,IF('R9'!$D54='W9'!$A$49,'W9'!E$49,IF('R9'!$D54='W9'!$A$50,'W9'!E$50,IF('R9'!$D54='W9'!$A$51,'W9'!E$51,IF('R9'!$D54='W9'!$A$52,'W9'!E$52,IF('R9'!$D54='W9'!$A$53,'W9'!E$53,IF('R9'!$D54='W9'!$A$54,'W9'!E$54,IF('R9'!$D54='W9'!$A$55,'W9'!E$55)))))))))),0))))))))</f>
        <v>0</v>
      </c>
      <c r="P54" s="187">
        <f ca="1">IF(P26=0,0,IF(AND($D54="F-SMRA",P26=0),0,IF(AND($D54="F-SMRB",P26=0),0,IF(AND($D54="F-SMRC",P26=0),0,IF($D54='W9'!$A$68,'W9'!F319,IF($D54='W9'!$A$69,'W9'!F319,IF($D54='W9'!$A$70,'W9'!F319,ROUND(('R9'!P26/'W9'!$E$5*'W9'!$E$9*(IF('R9'!$D54='W9'!$A$47,'W9'!F$47,IF('R9'!$D54='W9'!$A$48,'W9'!F$48,IF('R9'!$D54='W9'!$A$49,'W9'!F$49,IF('R9'!$D54='W9'!$A$50,'W9'!F$50,IF('R9'!$D54='W9'!$A$51,'W9'!F$51,IF('R9'!$D54='W9'!$A$52,'W9'!F$52,IF('R9'!$D54='W9'!$A$53,'W9'!F$53,IF('R9'!$D54='W9'!$A$54,'W9'!F$54,IF('R9'!$D54='W9'!$A$55,'W9'!F$55))))))))))),0)+ROUND(P26/'W9'!$E$5*'W9'!$E$10*(IF('R9'!$D54='W9'!$A$47,'W9'!G$47,IF('R9'!$D54='W9'!$A$48,'W9'!G$48,IF('R9'!$D54='W9'!$A$49,'W9'!G$49,IF('R9'!$D54='W9'!$A$50,'W9'!G$50,IF('R9'!$D54='W9'!$A$51,'W9'!G$51,IF('R9'!$D54='W9'!$A$52,'W9'!G$52,IF('R9'!$D54='W9'!$A$53,'W9'!G$53,IF('R9'!$D54='W9'!$A$54,'W9'!G$54,IF('R9'!$D54='W9'!$A$55,'W9'!G$55)))))))))),0))))))))</f>
        <v>0</v>
      </c>
      <c r="Q54" s="187">
        <f ca="1">IF(Q26=0,0,IF(AND($D54="F-SMRA",Q26=0),0,IF(AND($D54="F-SMRB",Q26=0),0,IF(AND($D54="F-SMRC",Q26=0),0,IF($D54='W9'!$A$68,'W9'!H319,IF($D54='W9'!$A$69,'W9'!H319,IF($D54='W9'!$A$70,'W9'!H319,ROUND(('R9'!Q26/'W9'!$F$5*'W9'!$F$9*(IF('R9'!$D54='W9'!$A$47,'W9'!H$47,IF('R9'!$D54='W9'!$A$48,'W9'!H$48,IF('R9'!$D54='W9'!$A$49,'W9'!H$49,IF('R9'!$D54='W9'!$A$50,'W9'!H$50,IF('R9'!$D54='W9'!$A$51,'W9'!H$51,IF('R9'!$D54='W9'!$A$52,'W9'!H$52,IF('R9'!$D54='W9'!$A$53,'W9'!H$53,IF('R9'!$D54='W9'!$A$54,'W9'!H$54,IF('R9'!$D54='W9'!$A$55,'W9'!H$55))))))))))),0)+ROUND(Q26/'W9'!$F$5*'W9'!$F$10*(IF('R9'!$D54='W9'!$A$47,'W9'!I$47,IF('R9'!$D54='W9'!$A$48,'W9'!I$48,IF('R9'!$D54='W9'!$A$49,'W9'!I$49,IF('R9'!$D54='W9'!$A$50,'W9'!I$50,IF('R9'!$D54='W9'!$A$51,'W9'!I$51,IF('R9'!$D54='W9'!$A$52,'W9'!I$52,IF('R9'!$D54='W9'!$A$53,'W9'!I$53,IF('R9'!$D54='W9'!$A$54,'W9'!I$54,IF('R9'!$D54='W9'!$A$55,'W9'!I$55)))))))))),0))))))))</f>
        <v>0</v>
      </c>
      <c r="R54" s="187">
        <f ca="1">IF(R26=0,0,IF(AND($D54="F-SMRA",R26=0),0,IF(AND($D54="F-SMRB",R26=0),0,IF(AND($D54="F-SMRC",R26=0),0,IF($D54='W9'!$A$68,'W9'!J319,IF($D54='W9'!$A$69,'W9'!J319,IF($D54='W9'!$A$70,'W9'!J319,ROUND(('R9'!R26/'W9'!$G$5*'W9'!$G$9*(IF('R9'!$D54='W9'!$A$47,'W9'!J$47,IF('R9'!$D54='W9'!$A$48,'W9'!J$48,IF('R9'!$D54='W9'!$A$49,'W9'!J$49,IF('R9'!$D54='W9'!$A$50,'W9'!J$50,IF('R9'!$D54='W9'!$A$51,'W9'!J$51,IF('R9'!$D54='W9'!$A$52,'W9'!J$52,IF('R9'!$D54='W9'!$A$53,'W9'!J$53,IF('R9'!$D54='W9'!$A$54,'W9'!J$54,IF('R9'!$D54='W9'!$A$55,'W9'!J$55))))))))))),0)+ROUND(R26/'W9'!$G$5*'W9'!$G$10*(IF('R9'!$D54='W9'!$A$47,'W9'!K$47,IF('R9'!$D54='W9'!$A$48,'W9'!K$48,IF('R9'!$D54='W9'!$A$49,'W9'!K$49,IF('R9'!$D54='W9'!$A$50,'W9'!K$50,IF('R9'!$D54='W9'!$A$51,'W9'!K$51,IF('R9'!$D54='W9'!$A$52,'W9'!K$52,IF('R9'!$D54='W9'!$A$53,'W9'!K$53,IF('R9'!$D54='W9'!$A$54,'W9'!K$54,IF('R9'!$D54='W9'!$A$55,'W9'!K$55)))))))))),0))))))))</f>
        <v>0</v>
      </c>
      <c r="S54" s="187">
        <f t="shared" ca="1" si="3"/>
        <v>0</v>
      </c>
      <c r="T54" s="248"/>
      <c r="U54" s="248"/>
      <c r="V54" s="248"/>
      <c r="W54" s="248"/>
      <c r="X54" s="248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</row>
    <row r="55" spans="1:51" hidden="1" x14ac:dyDescent="0.2">
      <c r="A55" s="92">
        <v>20</v>
      </c>
      <c r="B55" s="381">
        <f t="shared" si="2"/>
        <v>0</v>
      </c>
      <c r="C55" s="382"/>
      <c r="D55" s="199" t="s">
        <v>52</v>
      </c>
      <c r="E55" s="265" t="str">
        <f>IF($D55='W9'!$A$59,'W9'!B$59,IF($D55='W9'!$A$60,'W9'!B$60,IF($D55='W9'!$A$61,'W9'!B$61,IF($D55='W9'!$A$62,'W9'!B$62,IF($D55='W9'!$A$63,'W9'!B$63,IF($D55='W9'!$A$64,'W9'!B$64,IF($D55='W9'!$A$65,'W9'!B$65,IF($D55='W9'!$A$66,'W9'!B$66,IF($D55='W9'!$A$67,'W9'!B$67,IF($D55='W9'!$A$68,'W9'!B294,IF($D55='W9'!$A$69,'W9'!B294,IF($D55='W9'!$A$70,'W9'!B294,IF($D55='W9'!$A$71,"")))))))))))))</f>
        <v/>
      </c>
      <c r="F55" s="378" t="str">
        <f>IF($D55='W9'!$A$59,'W9'!C$59,IF($D55='W9'!$A$60,'W9'!C$60,IF($D55='W9'!$A$61,'W9'!C$61,IF($D55='W9'!$A$62,'W9'!C$62,IF($D55='W9'!$A$63,'W9'!C$63,IF($D55='W9'!$A$64,'W9'!C$64,IF($D55='W9'!$A$65,'W9'!C$65,IF($D55='W9'!$A$66,'W9'!C$66,IF($D55='W9'!$A$67,'W9'!C$67,IF($D55='W9'!$A$68,'W9'!D294,IF($D55='W9'!$A$69,'W9'!D294,IF($D55='W9'!$A$70,'W9'!D294,IF($D55='W9'!$A$71,"")))))))))))))</f>
        <v/>
      </c>
      <c r="G55" s="379"/>
      <c r="H55" s="366" t="str">
        <f>IF($D55='W9'!$A$59,'W9'!D$59,IF($D55='W9'!$A$60,'W9'!D$60,IF($D55='W9'!$A$61,'W9'!D$61,IF($D55='W9'!$A$62,'W9'!D$62,IF($D55='W9'!$A$63,'W9'!D$63,IF($D55='W9'!$A$64,'W9'!D$64,IF($D55='W9'!$A$65,'W9'!D$65,IF($D55='W9'!$A$66,'W9'!D$66,IF($D55='W9'!$A$67,'W9'!D$67,IF($D55='W9'!$A$68,'W9'!F294,IF($D55='W9'!$A$69,'W9'!F294,IF($D55='W9'!$A$70,'W9'!F294,IF($D55='W9'!$A$71,"")))))))))))))</f>
        <v/>
      </c>
      <c r="I55" s="367"/>
      <c r="J55" s="366" t="str">
        <f>IF($D55='W9'!$A$59,'W9'!E$59,IF($D55='W9'!$A$60,'W9'!E$60,IF($D55='W9'!$A$61,'W9'!E$61,IF($D55='W9'!$A$62,'W9'!E$62,IF($D55='W9'!$A$63,'W9'!E$63,IF($D55='W9'!$A$64,'W9'!E$64,IF($D55='W9'!$A$65,'W9'!E$65,IF($D55='W9'!$A$66,'W9'!E$66,IF($D55='W9'!$A$67,'W9'!E$67,IF($D55='W9'!$A$68,'W9'!H294,IF($D55='W9'!$A$69,'W9'!H294,IF($D55='W9'!$A$70,'W9'!H294,IF($D55='W9'!$A$71,"")))))))))))))</f>
        <v/>
      </c>
      <c r="K55" s="367"/>
      <c r="L55" s="366" t="str">
        <f>IF($D55='W9'!$A$59,'W9'!F$59,IF($D55='W9'!$A$60,'W9'!F$60,IF($D55='W9'!$A$61,'W9'!F$61,IF($D55='W9'!$A$62,'W9'!F$62,IF($D55='W9'!$A$63,'W9'!F$63,IF($D55='W9'!$A$64,'W9'!F$64,IF($D55='W9'!$A$65,'W9'!F$65,IF($D55='W9'!$A$66,'W9'!F$66,IF($D55='W9'!$A$67,'W9'!F$67,IF($D55='W9'!$A$68,'W9'!J294,IF($D55='W9'!$A$69,'W9'!J294,IF($D55='W9'!$A$70,'W9'!J294,IF($D55='W9'!$A$71,"")))))))))))))</f>
        <v/>
      </c>
      <c r="M55" s="367"/>
      <c r="N55" s="187">
        <f ca="1">IF(N27=0,0,IF(AND($D55="F-SMRA",N27=0),0,IF(AND($D55="F-SMRB",N27=0),0,IF(AND($D55="F-SMRC",N27=0),0,IF($D55='W9'!$A$68,'W9'!B320,IF($D55='W9'!$A$69,'W9'!B320,IF($D55='W9'!$A$70,'W9'!B320,ROUND(('R9'!N27/'W9'!$C$5*'W9'!$C$9*(IF('R9'!$D55='W9'!$A$47,'W9'!B$47,IF('R9'!$D55='W9'!$A$48,'W9'!B$48,IF('R9'!$D55='W9'!$A$49,'W9'!B$49,IF('R9'!$D55='W9'!$A$50,'W9'!B$50,IF('R9'!$D55='W9'!$A$51,'W9'!B$51,IF('R9'!$D55='W9'!$A$52,'W9'!B$52,IF('R9'!$D55='W9'!$A$53,'W9'!B$53,IF('R9'!$D55='W9'!$A$54,'W9'!B$54,IF('R9'!$D55='W9'!$A$55,'W9'!B$55))))))))))),0)+ROUND(N27/'W9'!$C$5*'W9'!$C$10*(IF('R9'!$D55='W9'!$A$47,'W9'!C$47,IF('R9'!$D55='W9'!$A$48,'W9'!C$48,IF('R9'!$D55='W9'!$A$49,'W9'!C$49,IF('R9'!$D55='W9'!$A$50,'W9'!C$50,IF('R9'!$D55='W9'!$A$51,'W9'!C$51,IF('R9'!$D55='W9'!$A$52,'W9'!C$52,IF('R9'!$D55='W9'!$A$53,'W9'!C$53,IF('R9'!$D55='W9'!$A$54,'W9'!C$54,IF('R9'!$D55='W9'!$A$55,'W9'!C$55)))))))))),0))))))))</f>
        <v>0</v>
      </c>
      <c r="O55" s="187">
        <f ca="1">IF(O27=0,0,IF(AND($D55="F-SMRA",O27=0),0,IF(AND($D55="F-SMRB",O27=0),0,IF(AND($D55="F-SMRC",O27=0),0,IF($D55='W9'!$A$68,'W9'!D320,IF($D55='W9'!$A$69,'W9'!D320,IF($D55='W9'!$A$70,'W9'!D320,ROUND(('R9'!O27/'W9'!$D$5*'W9'!$D$9*(IF('R9'!$D55='W9'!$A$47,'W9'!D$47,IF('R9'!$D55='W9'!$A$48,'W9'!D$48,IF('R9'!$D55='W9'!$A$49,'W9'!D$49,IF('R9'!$D55='W9'!$A$50,'W9'!D$50,IF('R9'!$D55='W9'!$A$51,'W9'!D$51,IF('R9'!$D55='W9'!$A$52,'W9'!D$52,IF('R9'!$D55='W9'!$A$53,'W9'!D$53,IF('R9'!$D55='W9'!$A$54,'W9'!D$54,IF('R9'!$D55='W9'!$A$55,'W9'!D$55))))))))))),0)+ROUND(O27/'W9'!$D$5*'W9'!$D$10*(IF('R9'!$D55='W9'!$A$47,'W9'!E$47,IF('R9'!$D55='W9'!$A$48,'W9'!E$48,IF('R9'!$D55='W9'!$A$49,'W9'!E$49,IF('R9'!$D55='W9'!$A$50,'W9'!E$50,IF('R9'!$D55='W9'!$A$51,'W9'!E$51,IF('R9'!$D55='W9'!$A$52,'W9'!E$52,IF('R9'!$D55='W9'!$A$53,'W9'!E$53,IF('R9'!$D55='W9'!$A$54,'W9'!E$54,IF('R9'!$D55='W9'!$A$55,'W9'!E$55)))))))))),0))))))))</f>
        <v>0</v>
      </c>
      <c r="P55" s="187">
        <f ca="1">IF(P27=0,0,IF(AND($D55="F-SMRA",P27=0),0,IF(AND($D55="F-SMRB",P27=0),0,IF(AND($D55="F-SMRC",P27=0),0,IF($D55='W9'!$A$68,'W9'!F320,IF($D55='W9'!$A$69,'W9'!F320,IF($D55='W9'!$A$70,'W9'!F320,ROUND(('R9'!P27/'W9'!$E$5*'W9'!$E$9*(IF('R9'!$D55='W9'!$A$47,'W9'!F$47,IF('R9'!$D55='W9'!$A$48,'W9'!F$48,IF('R9'!$D55='W9'!$A$49,'W9'!F$49,IF('R9'!$D55='W9'!$A$50,'W9'!F$50,IF('R9'!$D55='W9'!$A$51,'W9'!F$51,IF('R9'!$D55='W9'!$A$52,'W9'!F$52,IF('R9'!$D55='W9'!$A$53,'W9'!F$53,IF('R9'!$D55='W9'!$A$54,'W9'!F$54,IF('R9'!$D55='W9'!$A$55,'W9'!F$55))))))))))),0)+ROUND(P27/'W9'!$E$5*'W9'!$E$10*(IF('R9'!$D55='W9'!$A$47,'W9'!G$47,IF('R9'!$D55='W9'!$A$48,'W9'!G$48,IF('R9'!$D55='W9'!$A$49,'W9'!G$49,IF('R9'!$D55='W9'!$A$50,'W9'!G$50,IF('R9'!$D55='W9'!$A$51,'W9'!G$51,IF('R9'!$D55='W9'!$A$52,'W9'!G$52,IF('R9'!$D55='W9'!$A$53,'W9'!G$53,IF('R9'!$D55='W9'!$A$54,'W9'!G$54,IF('R9'!$D55='W9'!$A$55,'W9'!G$55)))))))))),0))))))))</f>
        <v>0</v>
      </c>
      <c r="Q55" s="187">
        <f ca="1">IF(Q27=0,0,IF(AND($D55="F-SMRA",Q27=0),0,IF(AND($D55="F-SMRB",Q27=0),0,IF(AND($D55="F-SMRC",Q27=0),0,IF($D55='W9'!$A$68,'W9'!H320,IF($D55='W9'!$A$69,'W9'!H320,IF($D55='W9'!$A$70,'W9'!H320,ROUND(('R9'!Q27/'W9'!$F$5*'W9'!$F$9*(IF('R9'!$D55='W9'!$A$47,'W9'!H$47,IF('R9'!$D55='W9'!$A$48,'W9'!H$48,IF('R9'!$D55='W9'!$A$49,'W9'!H$49,IF('R9'!$D55='W9'!$A$50,'W9'!H$50,IF('R9'!$D55='W9'!$A$51,'W9'!H$51,IF('R9'!$D55='W9'!$A$52,'W9'!H$52,IF('R9'!$D55='W9'!$A$53,'W9'!H$53,IF('R9'!$D55='W9'!$A$54,'W9'!H$54,IF('R9'!$D55='W9'!$A$55,'W9'!H$55))))))))))),0)+ROUND(Q27/'W9'!$F$5*'W9'!$F$10*(IF('R9'!$D55='W9'!$A$47,'W9'!I$47,IF('R9'!$D55='W9'!$A$48,'W9'!I$48,IF('R9'!$D55='W9'!$A$49,'W9'!I$49,IF('R9'!$D55='W9'!$A$50,'W9'!I$50,IF('R9'!$D55='W9'!$A$51,'W9'!I$51,IF('R9'!$D55='W9'!$A$52,'W9'!I$52,IF('R9'!$D55='W9'!$A$53,'W9'!I$53,IF('R9'!$D55='W9'!$A$54,'W9'!I$54,IF('R9'!$D55='W9'!$A$55,'W9'!I$55)))))))))),0))))))))</f>
        <v>0</v>
      </c>
      <c r="R55" s="187">
        <f ca="1">IF(R27=0,0,IF(AND($D55="F-SMRA",R27=0),0,IF(AND($D55="F-SMRB",R27=0),0,IF(AND($D55="F-SMRC",R27=0),0,IF($D55='W9'!$A$68,'W9'!J320,IF($D55='W9'!$A$69,'W9'!J320,IF($D55='W9'!$A$70,'W9'!J320,ROUND(('R9'!R27/'W9'!$G$5*'W9'!$G$9*(IF('R9'!$D55='W9'!$A$47,'W9'!J$47,IF('R9'!$D55='W9'!$A$48,'W9'!J$48,IF('R9'!$D55='W9'!$A$49,'W9'!J$49,IF('R9'!$D55='W9'!$A$50,'W9'!J$50,IF('R9'!$D55='W9'!$A$51,'W9'!J$51,IF('R9'!$D55='W9'!$A$52,'W9'!J$52,IF('R9'!$D55='W9'!$A$53,'W9'!J$53,IF('R9'!$D55='W9'!$A$54,'W9'!J$54,IF('R9'!$D55='W9'!$A$55,'W9'!J$55))))))))))),0)+ROUND(R27/'W9'!$G$5*'W9'!$G$10*(IF('R9'!$D55='W9'!$A$47,'W9'!K$47,IF('R9'!$D55='W9'!$A$48,'W9'!K$48,IF('R9'!$D55='W9'!$A$49,'W9'!K$49,IF('R9'!$D55='W9'!$A$50,'W9'!K$50,IF('R9'!$D55='W9'!$A$51,'W9'!K$51,IF('R9'!$D55='W9'!$A$52,'W9'!K$52,IF('R9'!$D55='W9'!$A$53,'W9'!K$53,IF('R9'!$D55='W9'!$A$54,'W9'!K$54,IF('R9'!$D55='W9'!$A$55,'W9'!K$55)))))))))),0))))))))</f>
        <v>0</v>
      </c>
      <c r="S55" s="187">
        <f t="shared" ca="1" si="3"/>
        <v>0</v>
      </c>
      <c r="T55" s="248"/>
      <c r="U55" s="248"/>
      <c r="V55" s="248"/>
      <c r="W55" s="248"/>
      <c r="X55" s="248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</row>
    <row r="56" spans="1:51" hidden="1" x14ac:dyDescent="0.2">
      <c r="A56" s="92">
        <v>21</v>
      </c>
      <c r="B56" s="381">
        <f t="shared" si="2"/>
        <v>0</v>
      </c>
      <c r="C56" s="382"/>
      <c r="D56" s="199" t="s">
        <v>52</v>
      </c>
      <c r="E56" s="265" t="str">
        <f>IF($D56='W9'!$A$59,'W9'!B$59,IF($D56='W9'!$A$60,'W9'!B$60,IF($D56='W9'!$A$61,'W9'!B$61,IF($D56='W9'!$A$62,'W9'!B$62,IF($D56='W9'!$A$63,'W9'!B$63,IF($D56='W9'!$A$64,'W9'!B$64,IF($D56='W9'!$A$65,'W9'!B$65,IF($D56='W9'!$A$66,'W9'!B$66,IF($D56='W9'!$A$67,'W9'!B$67,IF($D56='W9'!$A$68,'W9'!B295,IF($D56='W9'!$A$69,'W9'!B295,IF($D56='W9'!$A$70,'W9'!B295,IF($D56='W9'!$A$71,"")))))))))))))</f>
        <v/>
      </c>
      <c r="F56" s="378" t="str">
        <f>IF($D56='W9'!$A$59,'W9'!C$59,IF($D56='W9'!$A$60,'W9'!C$60,IF($D56='W9'!$A$61,'W9'!C$61,IF($D56='W9'!$A$62,'W9'!C$62,IF($D56='W9'!$A$63,'W9'!C$63,IF($D56='W9'!$A$64,'W9'!C$64,IF($D56='W9'!$A$65,'W9'!C$65,IF($D56='W9'!$A$66,'W9'!C$66,IF($D56='W9'!$A$67,'W9'!C$67,IF($D56='W9'!$A$68,'W9'!D295,IF($D56='W9'!$A$69,'W9'!D295,IF($D56='W9'!$A$70,'W9'!D295,IF($D56='W9'!$A$71,"")))))))))))))</f>
        <v/>
      </c>
      <c r="G56" s="379"/>
      <c r="H56" s="366" t="str">
        <f>IF($D56='W9'!$A$59,'W9'!D$59,IF($D56='W9'!$A$60,'W9'!D$60,IF($D56='W9'!$A$61,'W9'!D$61,IF($D56='W9'!$A$62,'W9'!D$62,IF($D56='W9'!$A$63,'W9'!D$63,IF($D56='W9'!$A$64,'W9'!D$64,IF($D56='W9'!$A$65,'W9'!D$65,IF($D56='W9'!$A$66,'W9'!D$66,IF($D56='W9'!$A$67,'W9'!D$67,IF($D56='W9'!$A$68,'W9'!F295,IF($D56='W9'!$A$69,'W9'!F295,IF($D56='W9'!$A$70,'W9'!F295,IF($D56='W9'!$A$71,"")))))))))))))</f>
        <v/>
      </c>
      <c r="I56" s="367"/>
      <c r="J56" s="366" t="str">
        <f>IF($D56='W9'!$A$59,'W9'!E$59,IF($D56='W9'!$A$60,'W9'!E$60,IF($D56='W9'!$A$61,'W9'!E$61,IF($D56='W9'!$A$62,'W9'!E$62,IF($D56='W9'!$A$63,'W9'!E$63,IF($D56='W9'!$A$64,'W9'!E$64,IF($D56='W9'!$A$65,'W9'!E$65,IF($D56='W9'!$A$66,'W9'!E$66,IF($D56='W9'!$A$67,'W9'!E$67,IF($D56='W9'!$A$68,'W9'!H295,IF($D56='W9'!$A$69,'W9'!H295,IF($D56='W9'!$A$70,'W9'!H295,IF($D56='W9'!$A$71,"")))))))))))))</f>
        <v/>
      </c>
      <c r="K56" s="367"/>
      <c r="L56" s="366" t="str">
        <f>IF($D56='W9'!$A$59,'W9'!F$59,IF($D56='W9'!$A$60,'W9'!F$60,IF($D56='W9'!$A$61,'W9'!F$61,IF($D56='W9'!$A$62,'W9'!F$62,IF($D56='W9'!$A$63,'W9'!F$63,IF($D56='W9'!$A$64,'W9'!F$64,IF($D56='W9'!$A$65,'W9'!F$65,IF($D56='W9'!$A$66,'W9'!F$66,IF($D56='W9'!$A$67,'W9'!F$67,IF($D56='W9'!$A$68,'W9'!J295,IF($D56='W9'!$A$69,'W9'!J295,IF($D56='W9'!$A$70,'W9'!J295,IF($D56='W9'!$A$71,"")))))))))))))</f>
        <v/>
      </c>
      <c r="M56" s="367"/>
      <c r="N56" s="187">
        <f ca="1">IF(N28=0,0,IF(AND($D56="F-SMRA",N28=0),0,IF(AND($D56="F-SMRB",N28=0),0,IF(AND($D56="F-SMRC",N28=0),0,IF($D56='W9'!$A$68,'W9'!B321,IF($D56='W9'!$A$69,'W9'!B321,IF($D56='W9'!$A$70,'W9'!B321,ROUND(('R9'!N28/'W9'!$C$5*'W9'!$C$9*(IF('R9'!$D56='W9'!$A$47,'W9'!B$47,IF('R9'!$D56='W9'!$A$48,'W9'!B$48,IF('R9'!$D56='W9'!$A$49,'W9'!B$49,IF('R9'!$D56='W9'!$A$50,'W9'!B$50,IF('R9'!$D56='W9'!$A$51,'W9'!B$51,IF('R9'!$D56='W9'!$A$52,'W9'!B$52,IF('R9'!$D56='W9'!$A$53,'W9'!B$53,IF('R9'!$D56='W9'!$A$54,'W9'!B$54,IF('R9'!$D56='W9'!$A$55,'W9'!B$55))))))))))),0)+ROUND(N28/'W9'!$C$5*'W9'!$C$10*(IF('R9'!$D56='W9'!$A$47,'W9'!C$47,IF('R9'!$D56='W9'!$A$48,'W9'!C$48,IF('R9'!$D56='W9'!$A$49,'W9'!C$49,IF('R9'!$D56='W9'!$A$50,'W9'!C$50,IF('R9'!$D56='W9'!$A$51,'W9'!C$51,IF('R9'!$D56='W9'!$A$52,'W9'!C$52,IF('R9'!$D56='W9'!$A$53,'W9'!C$53,IF('R9'!$D56='W9'!$A$54,'W9'!C$54,IF('R9'!$D56='W9'!$A$55,'W9'!C$55)))))))))),0))))))))</f>
        <v>0</v>
      </c>
      <c r="O56" s="187">
        <f ca="1">IF(O28=0,0,IF(AND($D56="F-SMRA",O28=0),0,IF(AND($D56="F-SMRB",O28=0),0,IF(AND($D56="F-SMRC",O28=0),0,IF($D56='W9'!$A$68,'W9'!D321,IF($D56='W9'!$A$69,'W9'!D321,IF($D56='W9'!$A$70,'W9'!D321,ROUND(('R9'!O28/'W9'!$D$5*'W9'!$D$9*(IF('R9'!$D56='W9'!$A$47,'W9'!D$47,IF('R9'!$D56='W9'!$A$48,'W9'!D$48,IF('R9'!$D56='W9'!$A$49,'W9'!D$49,IF('R9'!$D56='W9'!$A$50,'W9'!D$50,IF('R9'!$D56='W9'!$A$51,'W9'!D$51,IF('R9'!$D56='W9'!$A$52,'W9'!D$52,IF('R9'!$D56='W9'!$A$53,'W9'!D$53,IF('R9'!$D56='W9'!$A$54,'W9'!D$54,IF('R9'!$D56='W9'!$A$55,'W9'!D$55))))))))))),0)+ROUND(O28/'W9'!$D$5*'W9'!$D$10*(IF('R9'!$D56='W9'!$A$47,'W9'!E$47,IF('R9'!$D56='W9'!$A$48,'W9'!E$48,IF('R9'!$D56='W9'!$A$49,'W9'!E$49,IF('R9'!$D56='W9'!$A$50,'W9'!E$50,IF('R9'!$D56='W9'!$A$51,'W9'!E$51,IF('R9'!$D56='W9'!$A$52,'W9'!E$52,IF('R9'!$D56='W9'!$A$53,'W9'!E$53,IF('R9'!$D56='W9'!$A$54,'W9'!E$54,IF('R9'!$D56='W9'!$A$55,'W9'!E$55)))))))))),0))))))))</f>
        <v>0</v>
      </c>
      <c r="P56" s="187">
        <f ca="1">IF(P28=0,0,IF(AND($D56="F-SMRA",P28=0),0,IF(AND($D56="F-SMRB",P28=0),0,IF(AND($D56="F-SMRC",P28=0),0,IF($D56='W9'!$A$68,'W9'!F321,IF($D56='W9'!$A$69,'W9'!F321,IF($D56='W9'!$A$70,'W9'!F321,ROUND(('R9'!P28/'W9'!$E$5*'W9'!$E$9*(IF('R9'!$D56='W9'!$A$47,'W9'!F$47,IF('R9'!$D56='W9'!$A$48,'W9'!F$48,IF('R9'!$D56='W9'!$A$49,'W9'!F$49,IF('R9'!$D56='W9'!$A$50,'W9'!F$50,IF('R9'!$D56='W9'!$A$51,'W9'!F$51,IF('R9'!$D56='W9'!$A$52,'W9'!F$52,IF('R9'!$D56='W9'!$A$53,'W9'!F$53,IF('R9'!$D56='W9'!$A$54,'W9'!F$54,IF('R9'!$D56='W9'!$A$55,'W9'!F$55))))))))))),0)+ROUND(P28/'W9'!$E$5*'W9'!$E$10*(IF('R9'!$D56='W9'!$A$47,'W9'!G$47,IF('R9'!$D56='W9'!$A$48,'W9'!G$48,IF('R9'!$D56='W9'!$A$49,'W9'!G$49,IF('R9'!$D56='W9'!$A$50,'W9'!G$50,IF('R9'!$D56='W9'!$A$51,'W9'!G$51,IF('R9'!$D56='W9'!$A$52,'W9'!G$52,IF('R9'!$D56='W9'!$A$53,'W9'!G$53,IF('R9'!$D56='W9'!$A$54,'W9'!G$54,IF('R9'!$D56='W9'!$A$55,'W9'!G$55)))))))))),0))))))))</f>
        <v>0</v>
      </c>
      <c r="Q56" s="187">
        <f ca="1">IF(Q28=0,0,IF(AND($D56="F-SMRA",Q28=0),0,IF(AND($D56="F-SMRB",Q28=0),0,IF(AND($D56="F-SMRC",Q28=0),0,IF($D56='W9'!$A$68,'W9'!H321,IF($D56='W9'!$A$69,'W9'!H321,IF($D56='W9'!$A$70,'W9'!H321,ROUND(('R9'!Q28/'W9'!$F$5*'W9'!$F$9*(IF('R9'!$D56='W9'!$A$47,'W9'!H$47,IF('R9'!$D56='W9'!$A$48,'W9'!H$48,IF('R9'!$D56='W9'!$A$49,'W9'!H$49,IF('R9'!$D56='W9'!$A$50,'W9'!H$50,IF('R9'!$D56='W9'!$A$51,'W9'!H$51,IF('R9'!$D56='W9'!$A$52,'W9'!H$52,IF('R9'!$D56='W9'!$A$53,'W9'!H$53,IF('R9'!$D56='W9'!$A$54,'W9'!H$54,IF('R9'!$D56='W9'!$A$55,'W9'!H$55))))))))))),0)+ROUND(Q28/'W9'!$F$5*'W9'!$F$10*(IF('R9'!$D56='W9'!$A$47,'W9'!I$47,IF('R9'!$D56='W9'!$A$48,'W9'!I$48,IF('R9'!$D56='W9'!$A$49,'W9'!I$49,IF('R9'!$D56='W9'!$A$50,'W9'!I$50,IF('R9'!$D56='W9'!$A$51,'W9'!I$51,IF('R9'!$D56='W9'!$A$52,'W9'!I$52,IF('R9'!$D56='W9'!$A$53,'W9'!I$53,IF('R9'!$D56='W9'!$A$54,'W9'!I$54,IF('R9'!$D56='W9'!$A$55,'W9'!I$55)))))))))),0))))))))</f>
        <v>0</v>
      </c>
      <c r="R56" s="187">
        <f ca="1">IF(R28=0,0,IF(AND($D56="F-SMRA",R28=0),0,IF(AND($D56="F-SMRB",R28=0),0,IF(AND($D56="F-SMRC",R28=0),0,IF($D56='W9'!$A$68,'W9'!J321,IF($D56='W9'!$A$69,'W9'!J321,IF($D56='W9'!$A$70,'W9'!J321,ROUND(('R9'!R28/'W9'!$G$5*'W9'!$G$9*(IF('R9'!$D56='W9'!$A$47,'W9'!J$47,IF('R9'!$D56='W9'!$A$48,'W9'!J$48,IF('R9'!$D56='W9'!$A$49,'W9'!J$49,IF('R9'!$D56='W9'!$A$50,'W9'!J$50,IF('R9'!$D56='W9'!$A$51,'W9'!J$51,IF('R9'!$D56='W9'!$A$52,'W9'!J$52,IF('R9'!$D56='W9'!$A$53,'W9'!J$53,IF('R9'!$D56='W9'!$A$54,'W9'!J$54,IF('R9'!$D56='W9'!$A$55,'W9'!J$55))))))))))),0)+ROUND(R28/'W9'!$G$5*'W9'!$G$10*(IF('R9'!$D56='W9'!$A$47,'W9'!K$47,IF('R9'!$D56='W9'!$A$48,'W9'!K$48,IF('R9'!$D56='W9'!$A$49,'W9'!K$49,IF('R9'!$D56='W9'!$A$50,'W9'!K$50,IF('R9'!$D56='W9'!$A$51,'W9'!K$51,IF('R9'!$D56='W9'!$A$52,'W9'!K$52,IF('R9'!$D56='W9'!$A$53,'W9'!K$53,IF('R9'!$D56='W9'!$A$54,'W9'!K$54,IF('R9'!$D56='W9'!$A$55,'W9'!K$55)))))))))),0))))))))</f>
        <v>0</v>
      </c>
      <c r="S56" s="187">
        <f t="shared" ca="1" si="3"/>
        <v>0</v>
      </c>
      <c r="T56" s="248"/>
      <c r="U56" s="248"/>
      <c r="V56" s="248"/>
      <c r="W56" s="248"/>
      <c r="X56" s="248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</row>
    <row r="57" spans="1:51" hidden="1" x14ac:dyDescent="0.2">
      <c r="A57" s="92">
        <v>22</v>
      </c>
      <c r="B57" s="381">
        <f t="shared" si="2"/>
        <v>0</v>
      </c>
      <c r="C57" s="382"/>
      <c r="D57" s="199" t="s">
        <v>52</v>
      </c>
      <c r="E57" s="265" t="str">
        <f>IF($D57='W9'!$A$59,'W9'!B$59,IF($D57='W9'!$A$60,'W9'!B$60,IF($D57='W9'!$A$61,'W9'!B$61,IF($D57='W9'!$A$62,'W9'!B$62,IF($D57='W9'!$A$63,'W9'!B$63,IF($D57='W9'!$A$64,'W9'!B$64,IF($D57='W9'!$A$65,'W9'!B$65,IF($D57='W9'!$A$66,'W9'!B$66,IF($D57='W9'!$A$67,'W9'!B$67,IF($D57='W9'!$A$68,'W9'!B296,IF($D57='W9'!$A$69,'W9'!B296,IF($D57='W9'!$A$70,'W9'!B296,IF($D57='W9'!$A$71,"")))))))))))))</f>
        <v/>
      </c>
      <c r="F57" s="378" t="str">
        <f>IF($D57='W9'!$A$59,'W9'!C$59,IF($D57='W9'!$A$60,'W9'!C$60,IF($D57='W9'!$A$61,'W9'!C$61,IF($D57='W9'!$A$62,'W9'!C$62,IF($D57='W9'!$A$63,'W9'!C$63,IF($D57='W9'!$A$64,'W9'!C$64,IF($D57='W9'!$A$65,'W9'!C$65,IF($D57='W9'!$A$66,'W9'!C$66,IF($D57='W9'!$A$67,'W9'!C$67,IF($D57='W9'!$A$68,'W9'!D296,IF($D57='W9'!$A$69,'W9'!D296,IF($D57='W9'!$A$70,'W9'!D296,IF($D57='W9'!$A$71,"")))))))))))))</f>
        <v/>
      </c>
      <c r="G57" s="379"/>
      <c r="H57" s="366" t="str">
        <f>IF($D57='W9'!$A$59,'W9'!D$59,IF($D57='W9'!$A$60,'W9'!D$60,IF($D57='W9'!$A$61,'W9'!D$61,IF($D57='W9'!$A$62,'W9'!D$62,IF($D57='W9'!$A$63,'W9'!D$63,IF($D57='W9'!$A$64,'W9'!D$64,IF($D57='W9'!$A$65,'W9'!D$65,IF($D57='W9'!$A$66,'W9'!D$66,IF($D57='W9'!$A$67,'W9'!D$67,IF($D57='W9'!$A$68,'W9'!F296,IF($D57='W9'!$A$69,'W9'!F296,IF($D57='W9'!$A$70,'W9'!F296,IF($D57='W9'!$A$71,"")))))))))))))</f>
        <v/>
      </c>
      <c r="I57" s="367"/>
      <c r="J57" s="366" t="str">
        <f>IF($D57='W9'!$A$59,'W9'!E$59,IF($D57='W9'!$A$60,'W9'!E$60,IF($D57='W9'!$A$61,'W9'!E$61,IF($D57='W9'!$A$62,'W9'!E$62,IF($D57='W9'!$A$63,'W9'!E$63,IF($D57='W9'!$A$64,'W9'!E$64,IF($D57='W9'!$A$65,'W9'!E$65,IF($D57='W9'!$A$66,'W9'!E$66,IF($D57='W9'!$A$67,'W9'!E$67,IF($D57='W9'!$A$68,'W9'!H296,IF($D57='W9'!$A$69,'W9'!H296,IF($D57='W9'!$A$70,'W9'!H296,IF($D57='W9'!$A$71,"")))))))))))))</f>
        <v/>
      </c>
      <c r="K57" s="367"/>
      <c r="L57" s="366" t="str">
        <f>IF($D57='W9'!$A$59,'W9'!F$59,IF($D57='W9'!$A$60,'W9'!F$60,IF($D57='W9'!$A$61,'W9'!F$61,IF($D57='W9'!$A$62,'W9'!F$62,IF($D57='W9'!$A$63,'W9'!F$63,IF($D57='W9'!$A$64,'W9'!F$64,IF($D57='W9'!$A$65,'W9'!F$65,IF($D57='W9'!$A$66,'W9'!F$66,IF($D57='W9'!$A$67,'W9'!F$67,IF($D57='W9'!$A$68,'W9'!J296,IF($D57='W9'!$A$69,'W9'!J296,IF($D57='W9'!$A$70,'W9'!J296,IF($D57='W9'!$A$71,"")))))))))))))</f>
        <v/>
      </c>
      <c r="M57" s="367"/>
      <c r="N57" s="187">
        <f ca="1">IF(N29=0,0,IF(AND($D57="F-SMRA",N29=0),0,IF(AND($D57="F-SMRB",N29=0),0,IF(AND($D57="F-SMRC",N29=0),0,IF($D57='W9'!$A$68,'W9'!B322,IF($D57='W9'!$A$69,'W9'!B322,IF($D57='W9'!$A$70,'W9'!B322,ROUND(('R9'!N29/'W9'!$C$5*'W9'!$C$9*(IF('R9'!$D57='W9'!$A$47,'W9'!B$47,IF('R9'!$D57='W9'!$A$48,'W9'!B$48,IF('R9'!$D57='W9'!$A$49,'W9'!B$49,IF('R9'!$D57='W9'!$A$50,'W9'!B$50,IF('R9'!$D57='W9'!$A$51,'W9'!B$51,IF('R9'!$D57='W9'!$A$52,'W9'!B$52,IF('R9'!$D57='W9'!$A$53,'W9'!B$53,IF('R9'!$D57='W9'!$A$54,'W9'!B$54,IF('R9'!$D57='W9'!$A$55,'W9'!B$55))))))))))),0)+ROUND(N29/'W9'!$C$5*'W9'!$C$10*(IF('R9'!$D57='W9'!$A$47,'W9'!C$47,IF('R9'!$D57='W9'!$A$48,'W9'!C$48,IF('R9'!$D57='W9'!$A$49,'W9'!C$49,IF('R9'!$D57='W9'!$A$50,'W9'!C$50,IF('R9'!$D57='W9'!$A$51,'W9'!C$51,IF('R9'!$D57='W9'!$A$52,'W9'!C$52,IF('R9'!$D57='W9'!$A$53,'W9'!C$53,IF('R9'!$D57='W9'!$A$54,'W9'!C$54,IF('R9'!$D57='W9'!$A$55,'W9'!C$55)))))))))),0))))))))</f>
        <v>0</v>
      </c>
      <c r="O57" s="187">
        <f ca="1">IF(O29=0,0,IF(AND($D57="F-SMRA",O29=0),0,IF(AND($D57="F-SMRB",O29=0),0,IF(AND($D57="F-SMRC",O29=0),0,IF($D57='W9'!$A$68,'W9'!D322,IF($D57='W9'!$A$69,'W9'!D322,IF($D57='W9'!$A$70,'W9'!D322,ROUND(('R9'!O29/'W9'!$D$5*'W9'!$D$9*(IF('R9'!$D57='W9'!$A$47,'W9'!D$47,IF('R9'!$D57='W9'!$A$48,'W9'!D$48,IF('R9'!$D57='W9'!$A$49,'W9'!D$49,IF('R9'!$D57='W9'!$A$50,'W9'!D$50,IF('R9'!$D57='W9'!$A$51,'W9'!D$51,IF('R9'!$D57='W9'!$A$52,'W9'!D$52,IF('R9'!$D57='W9'!$A$53,'W9'!D$53,IF('R9'!$D57='W9'!$A$54,'W9'!D$54,IF('R9'!$D57='W9'!$A$55,'W9'!D$55))))))))))),0)+ROUND(O29/'W9'!$D$5*'W9'!$D$10*(IF('R9'!$D57='W9'!$A$47,'W9'!E$47,IF('R9'!$D57='W9'!$A$48,'W9'!E$48,IF('R9'!$D57='W9'!$A$49,'W9'!E$49,IF('R9'!$D57='W9'!$A$50,'W9'!E$50,IF('R9'!$D57='W9'!$A$51,'W9'!E$51,IF('R9'!$D57='W9'!$A$52,'W9'!E$52,IF('R9'!$D57='W9'!$A$53,'W9'!E$53,IF('R9'!$D57='W9'!$A$54,'W9'!E$54,IF('R9'!$D57='W9'!$A$55,'W9'!E$55)))))))))),0))))))))</f>
        <v>0</v>
      </c>
      <c r="P57" s="187">
        <f ca="1">IF(P29=0,0,IF(AND($D57="F-SMRA",P29=0),0,IF(AND($D57="F-SMRB",P29=0),0,IF(AND($D57="F-SMRC",P29=0),0,IF($D57='W9'!$A$68,'W9'!F322,IF($D57='W9'!$A$69,'W9'!F322,IF($D57='W9'!$A$70,'W9'!F322,ROUND(('R9'!P29/'W9'!$E$5*'W9'!$E$9*(IF('R9'!$D57='W9'!$A$47,'W9'!F$47,IF('R9'!$D57='W9'!$A$48,'W9'!F$48,IF('R9'!$D57='W9'!$A$49,'W9'!F$49,IF('R9'!$D57='W9'!$A$50,'W9'!F$50,IF('R9'!$D57='W9'!$A$51,'W9'!F$51,IF('R9'!$D57='W9'!$A$52,'W9'!F$52,IF('R9'!$D57='W9'!$A$53,'W9'!F$53,IF('R9'!$D57='W9'!$A$54,'W9'!F$54,IF('R9'!$D57='W9'!$A$55,'W9'!F$55))))))))))),0)+ROUND(P29/'W9'!$E$5*'W9'!$E$10*(IF('R9'!$D57='W9'!$A$47,'W9'!G$47,IF('R9'!$D57='W9'!$A$48,'W9'!G$48,IF('R9'!$D57='W9'!$A$49,'W9'!G$49,IF('R9'!$D57='W9'!$A$50,'W9'!G$50,IF('R9'!$D57='W9'!$A$51,'W9'!G$51,IF('R9'!$D57='W9'!$A$52,'W9'!G$52,IF('R9'!$D57='W9'!$A$53,'W9'!G$53,IF('R9'!$D57='W9'!$A$54,'W9'!G$54,IF('R9'!$D57='W9'!$A$55,'W9'!G$55)))))))))),0))))))))</f>
        <v>0</v>
      </c>
      <c r="Q57" s="187">
        <f ca="1">IF(Q29=0,0,IF(AND($D57="F-SMRA",Q29=0),0,IF(AND($D57="F-SMRB",Q29=0),0,IF(AND($D57="F-SMRC",Q29=0),0,IF($D57='W9'!$A$68,'W9'!H322,IF($D57='W9'!$A$69,'W9'!H322,IF($D57='W9'!$A$70,'W9'!H322,ROUND(('R9'!Q29/'W9'!$F$5*'W9'!$F$9*(IF('R9'!$D57='W9'!$A$47,'W9'!H$47,IF('R9'!$D57='W9'!$A$48,'W9'!H$48,IF('R9'!$D57='W9'!$A$49,'W9'!H$49,IF('R9'!$D57='W9'!$A$50,'W9'!H$50,IF('R9'!$D57='W9'!$A$51,'W9'!H$51,IF('R9'!$D57='W9'!$A$52,'W9'!H$52,IF('R9'!$D57='W9'!$A$53,'W9'!H$53,IF('R9'!$D57='W9'!$A$54,'W9'!H$54,IF('R9'!$D57='W9'!$A$55,'W9'!H$55))))))))))),0)+ROUND(Q29/'W9'!$F$5*'W9'!$F$10*(IF('R9'!$D57='W9'!$A$47,'W9'!I$47,IF('R9'!$D57='W9'!$A$48,'W9'!I$48,IF('R9'!$D57='W9'!$A$49,'W9'!I$49,IF('R9'!$D57='W9'!$A$50,'W9'!I$50,IF('R9'!$D57='W9'!$A$51,'W9'!I$51,IF('R9'!$D57='W9'!$A$52,'W9'!I$52,IF('R9'!$D57='W9'!$A$53,'W9'!I$53,IF('R9'!$D57='W9'!$A$54,'W9'!I$54,IF('R9'!$D57='W9'!$A$55,'W9'!I$55)))))))))),0))))))))</f>
        <v>0</v>
      </c>
      <c r="R57" s="187">
        <f ca="1">IF(R29=0,0,IF(AND($D57="F-SMRA",R29=0),0,IF(AND($D57="F-SMRB",R29=0),0,IF(AND($D57="F-SMRC",R29=0),0,IF($D57='W9'!$A$68,'W9'!J322,IF($D57='W9'!$A$69,'W9'!J322,IF($D57='W9'!$A$70,'W9'!J322,ROUND(('R9'!R29/'W9'!$G$5*'W9'!$G$9*(IF('R9'!$D57='W9'!$A$47,'W9'!J$47,IF('R9'!$D57='W9'!$A$48,'W9'!J$48,IF('R9'!$D57='W9'!$A$49,'W9'!J$49,IF('R9'!$D57='W9'!$A$50,'W9'!J$50,IF('R9'!$D57='W9'!$A$51,'W9'!J$51,IF('R9'!$D57='W9'!$A$52,'W9'!J$52,IF('R9'!$D57='W9'!$A$53,'W9'!J$53,IF('R9'!$D57='W9'!$A$54,'W9'!J$54,IF('R9'!$D57='W9'!$A$55,'W9'!J$55))))))))))),0)+ROUND(R29/'W9'!$G$5*'W9'!$G$10*(IF('R9'!$D57='W9'!$A$47,'W9'!K$47,IF('R9'!$D57='W9'!$A$48,'W9'!K$48,IF('R9'!$D57='W9'!$A$49,'W9'!K$49,IF('R9'!$D57='W9'!$A$50,'W9'!K$50,IF('R9'!$D57='W9'!$A$51,'W9'!K$51,IF('R9'!$D57='W9'!$A$52,'W9'!K$52,IF('R9'!$D57='W9'!$A$53,'W9'!K$53,IF('R9'!$D57='W9'!$A$54,'W9'!K$54,IF('R9'!$D57='W9'!$A$55,'W9'!K$55)))))))))),0))))))))</f>
        <v>0</v>
      </c>
      <c r="S57" s="187">
        <f t="shared" ca="1" si="3"/>
        <v>0</v>
      </c>
      <c r="T57" s="248"/>
      <c r="U57" s="248"/>
      <c r="V57" s="248"/>
      <c r="W57" s="248"/>
      <c r="X57" s="248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</row>
    <row r="58" spans="1:51" hidden="1" x14ac:dyDescent="0.2">
      <c r="A58" s="92">
        <v>23</v>
      </c>
      <c r="B58" s="381">
        <f t="shared" si="2"/>
        <v>0</v>
      </c>
      <c r="C58" s="382"/>
      <c r="D58" s="199" t="s">
        <v>52</v>
      </c>
      <c r="E58" s="265" t="str">
        <f>IF($D58='W9'!$A$59,'W9'!B$59,IF($D58='W9'!$A$60,'W9'!B$60,IF($D58='W9'!$A$61,'W9'!B$61,IF($D58='W9'!$A$62,'W9'!B$62,IF($D58='W9'!$A$63,'W9'!B$63,IF($D58='W9'!$A$64,'W9'!B$64,IF($D58='W9'!$A$65,'W9'!B$65,IF($D58='W9'!$A$66,'W9'!B$66,IF($D58='W9'!$A$67,'W9'!B$67,IF($D58='W9'!$A$68,'W9'!B297,IF($D58='W9'!$A$69,'W9'!B297,IF($D58='W9'!$A$70,'W9'!B297,IF($D58='W9'!$A$71,"")))))))))))))</f>
        <v/>
      </c>
      <c r="F58" s="378" t="str">
        <f>IF($D58='W9'!$A$59,'W9'!C$59,IF($D58='W9'!$A$60,'W9'!C$60,IF($D58='W9'!$A$61,'W9'!C$61,IF($D58='W9'!$A$62,'W9'!C$62,IF($D58='W9'!$A$63,'W9'!C$63,IF($D58='W9'!$A$64,'W9'!C$64,IF($D58='W9'!$A$65,'W9'!C$65,IF($D58='W9'!$A$66,'W9'!C$66,IF($D58='W9'!$A$67,'W9'!C$67,IF($D58='W9'!$A$68,'W9'!D297,IF($D58='W9'!$A$69,'W9'!D297,IF($D58='W9'!$A$70,'W9'!D297,IF($D58='W9'!$A$71,"")))))))))))))</f>
        <v/>
      </c>
      <c r="G58" s="379"/>
      <c r="H58" s="366" t="str">
        <f>IF($D58='W9'!$A$59,'W9'!D$59,IF($D58='W9'!$A$60,'W9'!D$60,IF($D58='W9'!$A$61,'W9'!D$61,IF($D58='W9'!$A$62,'W9'!D$62,IF($D58='W9'!$A$63,'W9'!D$63,IF($D58='W9'!$A$64,'W9'!D$64,IF($D58='W9'!$A$65,'W9'!D$65,IF($D58='W9'!$A$66,'W9'!D$66,IF($D58='W9'!$A$67,'W9'!D$67,IF($D58='W9'!$A$68,'W9'!F297,IF($D58='W9'!$A$69,'W9'!F297,IF($D58='W9'!$A$70,'W9'!F297,IF($D58='W9'!$A$71,"")))))))))))))</f>
        <v/>
      </c>
      <c r="I58" s="367"/>
      <c r="J58" s="366" t="str">
        <f>IF($D58='W9'!$A$59,'W9'!E$59,IF($D58='W9'!$A$60,'W9'!E$60,IF($D58='W9'!$A$61,'W9'!E$61,IF($D58='W9'!$A$62,'W9'!E$62,IF($D58='W9'!$A$63,'W9'!E$63,IF($D58='W9'!$A$64,'W9'!E$64,IF($D58='W9'!$A$65,'W9'!E$65,IF($D58='W9'!$A$66,'W9'!E$66,IF($D58='W9'!$A$67,'W9'!E$67,IF($D58='W9'!$A$68,'W9'!H297,IF($D58='W9'!$A$69,'W9'!H297,IF($D58='W9'!$A$70,'W9'!H297,IF($D58='W9'!$A$71,"")))))))))))))</f>
        <v/>
      </c>
      <c r="K58" s="367"/>
      <c r="L58" s="366" t="str">
        <f>IF($D58='W9'!$A$59,'W9'!F$59,IF($D58='W9'!$A$60,'W9'!F$60,IF($D58='W9'!$A$61,'W9'!F$61,IF($D58='W9'!$A$62,'W9'!F$62,IF($D58='W9'!$A$63,'W9'!F$63,IF($D58='W9'!$A$64,'W9'!F$64,IF($D58='W9'!$A$65,'W9'!F$65,IF($D58='W9'!$A$66,'W9'!F$66,IF($D58='W9'!$A$67,'W9'!F$67,IF($D58='W9'!$A$68,'W9'!J297,IF($D58='W9'!$A$69,'W9'!J297,IF($D58='W9'!$A$70,'W9'!J297,IF($D58='W9'!$A$71,"")))))))))))))</f>
        <v/>
      </c>
      <c r="M58" s="367"/>
      <c r="N58" s="187">
        <f ca="1">IF(N30=0,0,IF(AND($D58="F-SMRA",N30=0),0,IF(AND($D58="F-SMRB",N30=0),0,IF(AND($D58="F-SMRC",N30=0),0,IF($D58='W9'!$A$68,'W9'!B323,IF($D58='W9'!$A$69,'W9'!B323,IF($D58='W9'!$A$70,'W9'!B323,ROUND(('R9'!N30/'W9'!$C$5*'W9'!$C$9*(IF('R9'!$D58='W9'!$A$47,'W9'!B$47,IF('R9'!$D58='W9'!$A$48,'W9'!B$48,IF('R9'!$D58='W9'!$A$49,'W9'!B$49,IF('R9'!$D58='W9'!$A$50,'W9'!B$50,IF('R9'!$D58='W9'!$A$51,'W9'!B$51,IF('R9'!$D58='W9'!$A$52,'W9'!B$52,IF('R9'!$D58='W9'!$A$53,'W9'!B$53,IF('R9'!$D58='W9'!$A$54,'W9'!B$54,IF('R9'!$D58='W9'!$A$55,'W9'!B$55))))))))))),0)+ROUND(N30/'W9'!$C$5*'W9'!$C$10*(IF('R9'!$D58='W9'!$A$47,'W9'!C$47,IF('R9'!$D58='W9'!$A$48,'W9'!C$48,IF('R9'!$D58='W9'!$A$49,'W9'!C$49,IF('R9'!$D58='W9'!$A$50,'W9'!C$50,IF('R9'!$D58='W9'!$A$51,'W9'!C$51,IF('R9'!$D58='W9'!$A$52,'W9'!C$52,IF('R9'!$D58='W9'!$A$53,'W9'!C$53,IF('R9'!$D58='W9'!$A$54,'W9'!C$54,IF('R9'!$D58='W9'!$A$55,'W9'!C$55)))))))))),0))))))))</f>
        <v>0</v>
      </c>
      <c r="O58" s="187">
        <f ca="1">IF(O30=0,0,IF(AND($D58="F-SMRA",O30=0),0,IF(AND($D58="F-SMRB",O30=0),0,IF(AND($D58="F-SMRC",O30=0),0,IF($D58='W9'!$A$68,'W9'!D323,IF($D58='W9'!$A$69,'W9'!D323,IF($D58='W9'!$A$70,'W9'!D323,ROUND(('R9'!O30/'W9'!$D$5*'W9'!$D$9*(IF('R9'!$D58='W9'!$A$47,'W9'!D$47,IF('R9'!$D58='W9'!$A$48,'W9'!D$48,IF('R9'!$D58='W9'!$A$49,'W9'!D$49,IF('R9'!$D58='W9'!$A$50,'W9'!D$50,IF('R9'!$D58='W9'!$A$51,'W9'!D$51,IF('R9'!$D58='W9'!$A$52,'W9'!D$52,IF('R9'!$D58='W9'!$A$53,'W9'!D$53,IF('R9'!$D58='W9'!$A$54,'W9'!D$54,IF('R9'!$D58='W9'!$A$55,'W9'!D$55))))))))))),0)+ROUND(O30/'W9'!$D$5*'W9'!$D$10*(IF('R9'!$D58='W9'!$A$47,'W9'!E$47,IF('R9'!$D58='W9'!$A$48,'W9'!E$48,IF('R9'!$D58='W9'!$A$49,'W9'!E$49,IF('R9'!$D58='W9'!$A$50,'W9'!E$50,IF('R9'!$D58='W9'!$A$51,'W9'!E$51,IF('R9'!$D58='W9'!$A$52,'W9'!E$52,IF('R9'!$D58='W9'!$A$53,'W9'!E$53,IF('R9'!$D58='W9'!$A$54,'W9'!E$54,IF('R9'!$D58='W9'!$A$55,'W9'!E$55)))))))))),0))))))))</f>
        <v>0</v>
      </c>
      <c r="P58" s="187">
        <f ca="1">IF(P30=0,0,IF(AND($D58="F-SMRA",P30=0),0,IF(AND($D58="F-SMRB",P30=0),0,IF(AND($D58="F-SMRC",P30=0),0,IF($D58='W9'!$A$68,'W9'!F323,IF($D58='W9'!$A$69,'W9'!F323,IF($D58='W9'!$A$70,'W9'!F323,ROUND(('R9'!P30/'W9'!$E$5*'W9'!$E$9*(IF('R9'!$D58='W9'!$A$47,'W9'!F$47,IF('R9'!$D58='W9'!$A$48,'W9'!F$48,IF('R9'!$D58='W9'!$A$49,'W9'!F$49,IF('R9'!$D58='W9'!$A$50,'W9'!F$50,IF('R9'!$D58='W9'!$A$51,'W9'!F$51,IF('R9'!$D58='W9'!$A$52,'W9'!F$52,IF('R9'!$D58='W9'!$A$53,'W9'!F$53,IF('R9'!$D58='W9'!$A$54,'W9'!F$54,IF('R9'!$D58='W9'!$A$55,'W9'!F$55))))))))))),0)+ROUND(P30/'W9'!$E$5*'W9'!$E$10*(IF('R9'!$D58='W9'!$A$47,'W9'!G$47,IF('R9'!$D58='W9'!$A$48,'W9'!G$48,IF('R9'!$D58='W9'!$A$49,'W9'!G$49,IF('R9'!$D58='W9'!$A$50,'W9'!G$50,IF('R9'!$D58='W9'!$A$51,'W9'!G$51,IF('R9'!$D58='W9'!$A$52,'W9'!G$52,IF('R9'!$D58='W9'!$A$53,'W9'!G$53,IF('R9'!$D58='W9'!$A$54,'W9'!G$54,IF('R9'!$D58='W9'!$A$55,'W9'!G$55)))))))))),0))))))))</f>
        <v>0</v>
      </c>
      <c r="Q58" s="187">
        <f ca="1">IF(Q30=0,0,IF(AND($D58="F-SMRA",Q30=0),0,IF(AND($D58="F-SMRB",Q30=0),0,IF(AND($D58="F-SMRC",Q30=0),0,IF($D58='W9'!$A$68,'W9'!H323,IF($D58='W9'!$A$69,'W9'!H323,IF($D58='W9'!$A$70,'W9'!H323,ROUND(('R9'!Q30/'W9'!$F$5*'W9'!$F$9*(IF('R9'!$D58='W9'!$A$47,'W9'!H$47,IF('R9'!$D58='W9'!$A$48,'W9'!H$48,IF('R9'!$D58='W9'!$A$49,'W9'!H$49,IF('R9'!$D58='W9'!$A$50,'W9'!H$50,IF('R9'!$D58='W9'!$A$51,'W9'!H$51,IF('R9'!$D58='W9'!$A$52,'W9'!H$52,IF('R9'!$D58='W9'!$A$53,'W9'!H$53,IF('R9'!$D58='W9'!$A$54,'W9'!H$54,IF('R9'!$D58='W9'!$A$55,'W9'!H$55))))))))))),0)+ROUND(Q30/'W9'!$F$5*'W9'!$F$10*(IF('R9'!$D58='W9'!$A$47,'W9'!I$47,IF('R9'!$D58='W9'!$A$48,'W9'!I$48,IF('R9'!$D58='W9'!$A$49,'W9'!I$49,IF('R9'!$D58='W9'!$A$50,'W9'!I$50,IF('R9'!$D58='W9'!$A$51,'W9'!I$51,IF('R9'!$D58='W9'!$A$52,'W9'!I$52,IF('R9'!$D58='W9'!$A$53,'W9'!I$53,IF('R9'!$D58='W9'!$A$54,'W9'!I$54,IF('R9'!$D58='W9'!$A$55,'W9'!I$55)))))))))),0))))))))</f>
        <v>0</v>
      </c>
      <c r="R58" s="187">
        <f ca="1">IF(R30=0,0,IF(AND($D58="F-SMRA",R30=0),0,IF(AND($D58="F-SMRB",R30=0),0,IF(AND($D58="F-SMRC",R30=0),0,IF($D58='W9'!$A$68,'W9'!J323,IF($D58='W9'!$A$69,'W9'!J323,IF($D58='W9'!$A$70,'W9'!J323,ROUND(('R9'!R30/'W9'!$G$5*'W9'!$G$9*(IF('R9'!$D58='W9'!$A$47,'W9'!J$47,IF('R9'!$D58='W9'!$A$48,'W9'!J$48,IF('R9'!$D58='W9'!$A$49,'W9'!J$49,IF('R9'!$D58='W9'!$A$50,'W9'!J$50,IF('R9'!$D58='W9'!$A$51,'W9'!J$51,IF('R9'!$D58='W9'!$A$52,'W9'!J$52,IF('R9'!$D58='W9'!$A$53,'W9'!J$53,IF('R9'!$D58='W9'!$A$54,'W9'!J$54,IF('R9'!$D58='W9'!$A$55,'W9'!J$55))))))))))),0)+ROUND(R30/'W9'!$G$5*'W9'!$G$10*(IF('R9'!$D58='W9'!$A$47,'W9'!K$47,IF('R9'!$D58='W9'!$A$48,'W9'!K$48,IF('R9'!$D58='W9'!$A$49,'W9'!K$49,IF('R9'!$D58='W9'!$A$50,'W9'!K$50,IF('R9'!$D58='W9'!$A$51,'W9'!K$51,IF('R9'!$D58='W9'!$A$52,'W9'!K$52,IF('R9'!$D58='W9'!$A$53,'W9'!K$53,IF('R9'!$D58='W9'!$A$54,'W9'!K$54,IF('R9'!$D58='W9'!$A$55,'W9'!K$55)))))))))),0))))))))</f>
        <v>0</v>
      </c>
      <c r="S58" s="187">
        <f t="shared" ca="1" si="3"/>
        <v>0</v>
      </c>
      <c r="T58" s="248"/>
      <c r="U58" s="248"/>
      <c r="V58" s="248"/>
      <c r="W58" s="248"/>
      <c r="X58" s="248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</row>
    <row r="59" spans="1:51" hidden="1" x14ac:dyDescent="0.2">
      <c r="A59" s="92">
        <v>24</v>
      </c>
      <c r="B59" s="381">
        <f t="shared" si="2"/>
        <v>0</v>
      </c>
      <c r="C59" s="382"/>
      <c r="D59" s="199" t="s">
        <v>52</v>
      </c>
      <c r="E59" s="265" t="str">
        <f>IF($D59='W9'!$A$59,'W9'!B$59,IF($D59='W9'!$A$60,'W9'!B$60,IF($D59='W9'!$A$61,'W9'!B$61,IF($D59='W9'!$A$62,'W9'!B$62,IF($D59='W9'!$A$63,'W9'!B$63,IF($D59='W9'!$A$64,'W9'!B$64,IF($D59='W9'!$A$65,'W9'!B$65,IF($D59='W9'!$A$66,'W9'!B$66,IF($D59='W9'!$A$67,'W9'!B$67,IF($D59='W9'!$A$68,'W9'!B298,IF($D59='W9'!$A$69,'W9'!B298,IF($D59='W9'!$A$70,'W9'!B298,IF($D59='W9'!$A$71,"")))))))))))))</f>
        <v/>
      </c>
      <c r="F59" s="378" t="str">
        <f>IF($D59='W9'!$A$59,'W9'!C$59,IF($D59='W9'!$A$60,'W9'!C$60,IF($D59='W9'!$A$61,'W9'!C$61,IF($D59='W9'!$A$62,'W9'!C$62,IF($D59='W9'!$A$63,'W9'!C$63,IF($D59='W9'!$A$64,'W9'!C$64,IF($D59='W9'!$A$65,'W9'!C$65,IF($D59='W9'!$A$66,'W9'!C$66,IF($D59='W9'!$A$67,'W9'!C$67,IF($D59='W9'!$A$68,'W9'!D298,IF($D59='W9'!$A$69,'W9'!D298,IF($D59='W9'!$A$70,'W9'!D298,IF($D59='W9'!$A$71,"")))))))))))))</f>
        <v/>
      </c>
      <c r="G59" s="379"/>
      <c r="H59" s="366" t="str">
        <f>IF($D59='W9'!$A$59,'W9'!D$59,IF($D59='W9'!$A$60,'W9'!D$60,IF($D59='W9'!$A$61,'W9'!D$61,IF($D59='W9'!$A$62,'W9'!D$62,IF($D59='W9'!$A$63,'W9'!D$63,IF($D59='W9'!$A$64,'W9'!D$64,IF($D59='W9'!$A$65,'W9'!D$65,IF($D59='W9'!$A$66,'W9'!D$66,IF($D59='W9'!$A$67,'W9'!D$67,IF($D59='W9'!$A$68,'W9'!F298,IF($D59='W9'!$A$69,'W9'!F298,IF($D59='W9'!$A$70,'W9'!F298,IF($D59='W9'!$A$71,"")))))))))))))</f>
        <v/>
      </c>
      <c r="I59" s="367"/>
      <c r="J59" s="366" t="str">
        <f>IF($D59='W9'!$A$59,'W9'!E$59,IF($D59='W9'!$A$60,'W9'!E$60,IF($D59='W9'!$A$61,'W9'!E$61,IF($D59='W9'!$A$62,'W9'!E$62,IF($D59='W9'!$A$63,'W9'!E$63,IF($D59='W9'!$A$64,'W9'!E$64,IF($D59='W9'!$A$65,'W9'!E$65,IF($D59='W9'!$A$66,'W9'!E$66,IF($D59='W9'!$A$67,'W9'!E$67,IF($D59='W9'!$A$68,'W9'!H298,IF($D59='W9'!$A$69,'W9'!H298,IF($D59='W9'!$A$70,'W9'!H298,IF($D59='W9'!$A$71,"")))))))))))))</f>
        <v/>
      </c>
      <c r="K59" s="367"/>
      <c r="L59" s="366" t="str">
        <f>IF($D59='W9'!$A$59,'W9'!F$59,IF($D59='W9'!$A$60,'W9'!F$60,IF($D59='W9'!$A$61,'W9'!F$61,IF($D59='W9'!$A$62,'W9'!F$62,IF($D59='W9'!$A$63,'W9'!F$63,IF($D59='W9'!$A$64,'W9'!F$64,IF($D59='W9'!$A$65,'W9'!F$65,IF($D59='W9'!$A$66,'W9'!F$66,IF($D59='W9'!$A$67,'W9'!F$67,IF($D59='W9'!$A$68,'W9'!J298,IF($D59='W9'!$A$69,'W9'!J298,IF($D59='W9'!$A$70,'W9'!J298,IF($D59='W9'!$A$71,"")))))))))))))</f>
        <v/>
      </c>
      <c r="M59" s="367"/>
      <c r="N59" s="187">
        <f ca="1">IF(N31=0,0,IF(AND($D59="F-SMRA",N31=0),0,IF(AND($D59="F-SMRB",N31=0),0,IF(AND($D59="F-SMRC",N31=0),0,IF($D59='W9'!$A$68,'W9'!B324,IF($D59='W9'!$A$69,'W9'!B324,IF($D59='W9'!$A$70,'W9'!B324,ROUND(('R9'!N31/'W9'!$C$5*'W9'!$C$9*(IF('R9'!$D59='W9'!$A$47,'W9'!B$47,IF('R9'!$D59='W9'!$A$48,'W9'!B$48,IF('R9'!$D59='W9'!$A$49,'W9'!B$49,IF('R9'!$D59='W9'!$A$50,'W9'!B$50,IF('R9'!$D59='W9'!$A$51,'W9'!B$51,IF('R9'!$D59='W9'!$A$52,'W9'!B$52,IF('R9'!$D59='W9'!$A$53,'W9'!B$53,IF('R9'!$D59='W9'!$A$54,'W9'!B$54,IF('R9'!$D59='W9'!$A$55,'W9'!B$55))))))))))),0)+ROUND(N31/'W9'!$C$5*'W9'!$C$10*(IF('R9'!$D59='W9'!$A$47,'W9'!C$47,IF('R9'!$D59='W9'!$A$48,'W9'!C$48,IF('R9'!$D59='W9'!$A$49,'W9'!C$49,IF('R9'!$D59='W9'!$A$50,'W9'!C$50,IF('R9'!$D59='W9'!$A$51,'W9'!C$51,IF('R9'!$D59='W9'!$A$52,'W9'!C$52,IF('R9'!$D59='W9'!$A$53,'W9'!C$53,IF('R9'!$D59='W9'!$A$54,'W9'!C$54,IF('R9'!$D59='W9'!$A$55,'W9'!C$55)))))))))),0))))))))</f>
        <v>0</v>
      </c>
      <c r="O59" s="187">
        <f ca="1">IF(O31=0,0,IF(AND($D59="F-SMRA",O31=0),0,IF(AND($D59="F-SMRB",O31=0),0,IF(AND($D59="F-SMRC",O31=0),0,IF($D59='W9'!$A$68,'W9'!D324,IF($D59='W9'!$A$69,'W9'!D324,IF($D59='W9'!$A$70,'W9'!D324,ROUND(('R9'!O31/'W9'!$D$5*'W9'!$D$9*(IF('R9'!$D59='W9'!$A$47,'W9'!D$47,IF('R9'!$D59='W9'!$A$48,'W9'!D$48,IF('R9'!$D59='W9'!$A$49,'W9'!D$49,IF('R9'!$D59='W9'!$A$50,'W9'!D$50,IF('R9'!$D59='W9'!$A$51,'W9'!D$51,IF('R9'!$D59='W9'!$A$52,'W9'!D$52,IF('R9'!$D59='W9'!$A$53,'W9'!D$53,IF('R9'!$D59='W9'!$A$54,'W9'!D$54,IF('R9'!$D59='W9'!$A$55,'W9'!D$55))))))))))),0)+ROUND(O31/'W9'!$D$5*'W9'!$D$10*(IF('R9'!$D59='W9'!$A$47,'W9'!E$47,IF('R9'!$D59='W9'!$A$48,'W9'!E$48,IF('R9'!$D59='W9'!$A$49,'W9'!E$49,IF('R9'!$D59='W9'!$A$50,'W9'!E$50,IF('R9'!$D59='W9'!$A$51,'W9'!E$51,IF('R9'!$D59='W9'!$A$52,'W9'!E$52,IF('R9'!$D59='W9'!$A$53,'W9'!E$53,IF('R9'!$D59='W9'!$A$54,'W9'!E$54,IF('R9'!$D59='W9'!$A$55,'W9'!E$55)))))))))),0))))))))</f>
        <v>0</v>
      </c>
      <c r="P59" s="187">
        <f ca="1">IF(P31=0,0,IF(AND($D59="F-SMRA",P31=0),0,IF(AND($D59="F-SMRB",P31=0),0,IF(AND($D59="F-SMRC",P31=0),0,IF($D59='W9'!$A$68,'W9'!F324,IF($D59='W9'!$A$69,'W9'!F324,IF($D59='W9'!$A$70,'W9'!F324,ROUND(('R9'!P31/'W9'!$E$5*'W9'!$E$9*(IF('R9'!$D59='W9'!$A$47,'W9'!F$47,IF('R9'!$D59='W9'!$A$48,'W9'!F$48,IF('R9'!$D59='W9'!$A$49,'W9'!F$49,IF('R9'!$D59='W9'!$A$50,'W9'!F$50,IF('R9'!$D59='W9'!$A$51,'W9'!F$51,IF('R9'!$D59='W9'!$A$52,'W9'!F$52,IF('R9'!$D59='W9'!$A$53,'W9'!F$53,IF('R9'!$D59='W9'!$A$54,'W9'!F$54,IF('R9'!$D59='W9'!$A$55,'W9'!F$55))))))))))),0)+ROUND(P31/'W9'!$E$5*'W9'!$E$10*(IF('R9'!$D59='W9'!$A$47,'W9'!G$47,IF('R9'!$D59='W9'!$A$48,'W9'!G$48,IF('R9'!$D59='W9'!$A$49,'W9'!G$49,IF('R9'!$D59='W9'!$A$50,'W9'!G$50,IF('R9'!$D59='W9'!$A$51,'W9'!G$51,IF('R9'!$D59='W9'!$A$52,'W9'!G$52,IF('R9'!$D59='W9'!$A$53,'W9'!G$53,IF('R9'!$D59='W9'!$A$54,'W9'!G$54,IF('R9'!$D59='W9'!$A$55,'W9'!G$55)))))))))),0))))))))</f>
        <v>0</v>
      </c>
      <c r="Q59" s="187">
        <f ca="1">IF(Q31=0,0,IF(AND($D59="F-SMRA",Q31=0),0,IF(AND($D59="F-SMRB",Q31=0),0,IF(AND($D59="F-SMRC",Q31=0),0,IF($D59='W9'!$A$68,'W9'!H324,IF($D59='W9'!$A$69,'W9'!H324,IF($D59='W9'!$A$70,'W9'!H324,ROUND(('R9'!Q31/'W9'!$F$5*'W9'!$F$9*(IF('R9'!$D59='W9'!$A$47,'W9'!H$47,IF('R9'!$D59='W9'!$A$48,'W9'!H$48,IF('R9'!$D59='W9'!$A$49,'W9'!H$49,IF('R9'!$D59='W9'!$A$50,'W9'!H$50,IF('R9'!$D59='W9'!$A$51,'W9'!H$51,IF('R9'!$D59='W9'!$A$52,'W9'!H$52,IF('R9'!$D59='W9'!$A$53,'W9'!H$53,IF('R9'!$D59='W9'!$A$54,'W9'!H$54,IF('R9'!$D59='W9'!$A$55,'W9'!H$55))))))))))),0)+ROUND(Q31/'W9'!$F$5*'W9'!$F$10*(IF('R9'!$D59='W9'!$A$47,'W9'!I$47,IF('R9'!$D59='W9'!$A$48,'W9'!I$48,IF('R9'!$D59='W9'!$A$49,'W9'!I$49,IF('R9'!$D59='W9'!$A$50,'W9'!I$50,IF('R9'!$D59='W9'!$A$51,'W9'!I$51,IF('R9'!$D59='W9'!$A$52,'W9'!I$52,IF('R9'!$D59='W9'!$A$53,'W9'!I$53,IF('R9'!$D59='W9'!$A$54,'W9'!I$54,IF('R9'!$D59='W9'!$A$55,'W9'!I$55)))))))))),0))))))))</f>
        <v>0</v>
      </c>
      <c r="R59" s="187">
        <f ca="1">IF(R31=0,0,IF(AND($D59="F-SMRA",R31=0),0,IF(AND($D59="F-SMRB",R31=0),0,IF(AND($D59="F-SMRC",R31=0),0,IF($D59='W9'!$A$68,'W9'!J324,IF($D59='W9'!$A$69,'W9'!J324,IF($D59='W9'!$A$70,'W9'!J324,ROUND(('R9'!R31/'W9'!$G$5*'W9'!$G$9*(IF('R9'!$D59='W9'!$A$47,'W9'!J$47,IF('R9'!$D59='W9'!$A$48,'W9'!J$48,IF('R9'!$D59='W9'!$A$49,'W9'!J$49,IF('R9'!$D59='W9'!$A$50,'W9'!J$50,IF('R9'!$D59='W9'!$A$51,'W9'!J$51,IF('R9'!$D59='W9'!$A$52,'W9'!J$52,IF('R9'!$D59='W9'!$A$53,'W9'!J$53,IF('R9'!$D59='W9'!$A$54,'W9'!J$54,IF('R9'!$D59='W9'!$A$55,'W9'!J$55))))))))))),0)+ROUND(R31/'W9'!$G$5*'W9'!$G$10*(IF('R9'!$D59='W9'!$A$47,'W9'!K$47,IF('R9'!$D59='W9'!$A$48,'W9'!K$48,IF('R9'!$D59='W9'!$A$49,'W9'!K$49,IF('R9'!$D59='W9'!$A$50,'W9'!K$50,IF('R9'!$D59='W9'!$A$51,'W9'!K$51,IF('R9'!$D59='W9'!$A$52,'W9'!K$52,IF('R9'!$D59='W9'!$A$53,'W9'!K$53,IF('R9'!$D59='W9'!$A$54,'W9'!K$54,IF('R9'!$D59='W9'!$A$55,'W9'!K$55)))))))))),0))))))))</f>
        <v>0</v>
      </c>
      <c r="S59" s="187">
        <f t="shared" ca="1" si="3"/>
        <v>0</v>
      </c>
      <c r="T59" s="248"/>
      <c r="U59" s="248"/>
      <c r="V59" s="248"/>
      <c r="W59" s="248"/>
      <c r="X59" s="248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spans="1:51" x14ac:dyDescent="0.2">
      <c r="A60" s="360" t="s">
        <v>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2"/>
      <c r="N60" s="201">
        <f ca="1">ROUND(SUM(N36:N59),0)</f>
        <v>0</v>
      </c>
      <c r="O60" s="201">
        <f t="shared" ref="O60:S60" ca="1" si="4">SUM(O36:O59)</f>
        <v>0</v>
      </c>
      <c r="P60" s="201">
        <f t="shared" ca="1" si="4"/>
        <v>0</v>
      </c>
      <c r="Q60" s="201">
        <f t="shared" ca="1" si="4"/>
        <v>0</v>
      </c>
      <c r="R60" s="201">
        <f t="shared" ca="1" si="4"/>
        <v>0</v>
      </c>
      <c r="S60" s="201">
        <f t="shared" ca="1" si="4"/>
        <v>0</v>
      </c>
      <c r="T60" s="249"/>
      <c r="U60" s="249"/>
      <c r="V60" s="249"/>
      <c r="W60" s="249"/>
      <c r="X60" s="249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</row>
    <row r="61" spans="1:51" x14ac:dyDescent="0.2">
      <c r="A61" s="363" t="s">
        <v>21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5"/>
      <c r="N61" s="202">
        <f t="shared" ref="N61:S61" ca="1" si="5">N32+N60</f>
        <v>0</v>
      </c>
      <c r="O61" s="202">
        <f t="shared" ca="1" si="5"/>
        <v>0</v>
      </c>
      <c r="P61" s="202">
        <f t="shared" ca="1" si="5"/>
        <v>0</v>
      </c>
      <c r="Q61" s="202">
        <f t="shared" ca="1" si="5"/>
        <v>0</v>
      </c>
      <c r="R61" s="202">
        <f t="shared" ca="1" si="5"/>
        <v>0</v>
      </c>
      <c r="S61" s="202">
        <f t="shared" ca="1" si="5"/>
        <v>0</v>
      </c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</row>
    <row r="62" spans="1:51" x14ac:dyDescent="0.2"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x14ac:dyDescent="0.2">
      <c r="A63" s="346" t="s">
        <v>153</v>
      </c>
      <c r="B63" s="347"/>
      <c r="C63" s="34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06"/>
      <c r="O63" s="106"/>
      <c r="P63" s="106"/>
      <c r="Q63" s="106"/>
      <c r="R63" s="106"/>
      <c r="S63" s="106" t="str">
        <f t="shared" ref="S63" si="6">S35</f>
        <v>Total</v>
      </c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x14ac:dyDescent="0.2">
      <c r="A64" s="231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204"/>
      <c r="P64" s="204"/>
      <c r="Q64" s="204"/>
      <c r="R64" s="204"/>
      <c r="S64" s="87">
        <f>SUM(N64:R64)</f>
        <v>0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x14ac:dyDescent="0.2">
      <c r="A65" s="231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204"/>
      <c r="P65" s="204"/>
      <c r="Q65" s="204"/>
      <c r="R65" s="204"/>
      <c r="S65" s="87">
        <f t="shared" ref="S65:S72" si="7">SUM(N65:R65)</f>
        <v>0</v>
      </c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x14ac:dyDescent="0.2">
      <c r="A66" s="231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  <c r="O66" s="204"/>
      <c r="P66" s="204"/>
      <c r="Q66" s="204"/>
      <c r="R66" s="204"/>
      <c r="S66" s="87">
        <f t="shared" si="7"/>
        <v>0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idden="1" x14ac:dyDescent="0.2">
      <c r="A67" s="231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4"/>
      <c r="O67" s="204"/>
      <c r="P67" s="204"/>
      <c r="Q67" s="204"/>
      <c r="R67" s="204"/>
      <c r="S67" s="87">
        <f t="shared" si="7"/>
        <v>0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idden="1" x14ac:dyDescent="0.2">
      <c r="A68" s="231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4"/>
      <c r="S68" s="87">
        <f t="shared" si="7"/>
        <v>0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idden="1" x14ac:dyDescent="0.2">
      <c r="A69" s="231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4"/>
      <c r="P69" s="204"/>
      <c r="Q69" s="204"/>
      <c r="R69" s="204"/>
      <c r="S69" s="87">
        <f t="shared" si="7"/>
        <v>0</v>
      </c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idden="1" x14ac:dyDescent="0.2">
      <c r="A70" s="231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204"/>
      <c r="P70" s="204"/>
      <c r="Q70" s="204"/>
      <c r="R70" s="204"/>
      <c r="S70" s="87">
        <f t="shared" si="7"/>
        <v>0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hidden="1" x14ac:dyDescent="0.2">
      <c r="A71" s="231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204"/>
      <c r="P71" s="204"/>
      <c r="Q71" s="204"/>
      <c r="R71" s="204"/>
      <c r="S71" s="87">
        <f t="shared" si="7"/>
        <v>0</v>
      </c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hidden="1" x14ac:dyDescent="0.2">
      <c r="A72" s="231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204"/>
      <c r="P72" s="204"/>
      <c r="Q72" s="204"/>
      <c r="R72" s="204"/>
      <c r="S72" s="87">
        <f t="shared" si="7"/>
        <v>0</v>
      </c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x14ac:dyDescent="0.2">
      <c r="A73" s="348" t="s">
        <v>154</v>
      </c>
      <c r="B73" s="349"/>
      <c r="C73" s="3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50">
        <f>SUM(N64:N72)</f>
        <v>0</v>
      </c>
      <c r="O73" s="150">
        <f t="shared" ref="O73:R73" si="8">SUM(O64:O72)</f>
        <v>0</v>
      </c>
      <c r="P73" s="150">
        <f t="shared" si="8"/>
        <v>0</v>
      </c>
      <c r="Q73" s="150">
        <f t="shared" si="8"/>
        <v>0</v>
      </c>
      <c r="R73" s="150">
        <f t="shared" si="8"/>
        <v>0</v>
      </c>
      <c r="S73" s="150">
        <f>SUM(S64:S72)</f>
        <v>0</v>
      </c>
      <c r="T73" s="250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x14ac:dyDescent="0.2">
      <c r="A74" s="93"/>
      <c r="B74" s="62"/>
      <c r="C74" s="62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x14ac:dyDescent="0.2">
      <c r="A75" s="346" t="s">
        <v>65</v>
      </c>
      <c r="B75" s="347"/>
      <c r="C75" s="347"/>
      <c r="D75" s="55"/>
      <c r="E75" s="55"/>
      <c r="F75" s="55"/>
      <c r="G75" s="55"/>
      <c r="H75" s="55"/>
      <c r="I75" s="55"/>
      <c r="J75" s="55"/>
      <c r="K75" s="402" t="s">
        <v>140</v>
      </c>
      <c r="L75" s="402"/>
      <c r="M75" s="403"/>
      <c r="N75" s="106"/>
      <c r="O75" s="106"/>
      <c r="P75" s="106"/>
      <c r="Q75" s="106"/>
      <c r="R75" s="106"/>
      <c r="S75" s="106" t="str">
        <f t="shared" ref="S75" si="9">S63</f>
        <v>Total</v>
      </c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x14ac:dyDescent="0.2">
      <c r="A76" s="231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190" t="s">
        <v>192</v>
      </c>
      <c r="N76" s="204"/>
      <c r="O76" s="204"/>
      <c r="P76" s="204"/>
      <c r="Q76" s="204"/>
      <c r="R76" s="204"/>
      <c r="S76" s="86">
        <f>SUM(N76:R76)</f>
        <v>0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x14ac:dyDescent="0.2">
      <c r="A77" s="231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190" t="s">
        <v>192</v>
      </c>
      <c r="N77" s="204"/>
      <c r="O77" s="204"/>
      <c r="P77" s="204"/>
      <c r="Q77" s="204"/>
      <c r="R77" s="204"/>
      <c r="S77" s="86">
        <f t="shared" ref="S77:S85" si="10">SUM(N77:R77)</f>
        <v>0</v>
      </c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x14ac:dyDescent="0.2">
      <c r="A78" s="231" t="s">
        <v>189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190" t="s">
        <v>192</v>
      </c>
      <c r="N78" s="204"/>
      <c r="O78" s="204"/>
      <c r="P78" s="204"/>
      <c r="Q78" s="204"/>
      <c r="R78" s="204"/>
      <c r="S78" s="86">
        <f t="shared" si="10"/>
        <v>0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x14ac:dyDescent="0.2">
      <c r="A79" s="231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190" t="s">
        <v>192</v>
      </c>
      <c r="N79" s="204"/>
      <c r="O79" s="204"/>
      <c r="P79" s="204"/>
      <c r="Q79" s="204"/>
      <c r="R79" s="204"/>
      <c r="S79" s="86">
        <f t="shared" si="10"/>
        <v>0</v>
      </c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hidden="1" x14ac:dyDescent="0.2">
      <c r="A80" s="231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190" t="s">
        <v>192</v>
      </c>
      <c r="N80" s="204"/>
      <c r="O80" s="204"/>
      <c r="P80" s="204"/>
      <c r="Q80" s="204"/>
      <c r="R80" s="204"/>
      <c r="S80" s="86">
        <f t="shared" si="10"/>
        <v>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hidden="1" x14ac:dyDescent="0.2">
      <c r="A81" s="231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190" t="s">
        <v>192</v>
      </c>
      <c r="N81" s="204"/>
      <c r="O81" s="204"/>
      <c r="P81" s="204"/>
      <c r="Q81" s="204"/>
      <c r="R81" s="204"/>
      <c r="S81" s="86">
        <f t="shared" si="10"/>
        <v>0</v>
      </c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idden="1" x14ac:dyDescent="0.2">
      <c r="A82" s="23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190" t="s">
        <v>192</v>
      </c>
      <c r="N82" s="204"/>
      <c r="O82" s="204"/>
      <c r="P82" s="204"/>
      <c r="Q82" s="204"/>
      <c r="R82" s="204"/>
      <c r="S82" s="86">
        <f t="shared" si="10"/>
        <v>0</v>
      </c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idden="1" x14ac:dyDescent="0.2">
      <c r="A83" s="231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190" t="s">
        <v>192</v>
      </c>
      <c r="N83" s="204"/>
      <c r="O83" s="204"/>
      <c r="P83" s="204"/>
      <c r="Q83" s="204"/>
      <c r="R83" s="204"/>
      <c r="S83" s="86">
        <f t="shared" si="10"/>
        <v>0</v>
      </c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x14ac:dyDescent="0.2">
      <c r="A84" s="433" t="s">
        <v>190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5"/>
      <c r="N84" s="151">
        <f>SUMIF($M$76:$M$83,"No",N76:N83)</f>
        <v>0</v>
      </c>
      <c r="O84" s="151">
        <f t="shared" ref="O84:R84" si="11">SUMIF($M$76:$M$83,"No",O76:O83)</f>
        <v>0</v>
      </c>
      <c r="P84" s="151">
        <f t="shared" si="11"/>
        <v>0</v>
      </c>
      <c r="Q84" s="151">
        <f t="shared" si="11"/>
        <v>0</v>
      </c>
      <c r="R84" s="151">
        <f t="shared" si="11"/>
        <v>0</v>
      </c>
      <c r="S84" s="151">
        <f t="shared" si="10"/>
        <v>0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x14ac:dyDescent="0.2">
      <c r="A85" s="436" t="s">
        <v>191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8"/>
      <c r="N85" s="152">
        <f>SUMIF($M$76:$M$83,"Yes",N76:N83)</f>
        <v>0</v>
      </c>
      <c r="O85" s="152">
        <f t="shared" ref="O85:R85" si="12">SUMIF($M$76:$M$83,"Yes",O76:O83)</f>
        <v>0</v>
      </c>
      <c r="P85" s="152">
        <f t="shared" si="12"/>
        <v>0</v>
      </c>
      <c r="Q85" s="152">
        <f t="shared" si="12"/>
        <v>0</v>
      </c>
      <c r="R85" s="152">
        <f t="shared" si="12"/>
        <v>0</v>
      </c>
      <c r="S85" s="152">
        <f t="shared" si="10"/>
        <v>0</v>
      </c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x14ac:dyDescent="0.2">
      <c r="A86" s="346" t="s">
        <v>66</v>
      </c>
      <c r="B86" s="347"/>
      <c r="C86" s="34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89">
        <f>SUM(N76:N83)</f>
        <v>0</v>
      </c>
      <c r="O86" s="89">
        <f t="shared" ref="O86:R86" si="13">SUM(O76:O83)</f>
        <v>0</v>
      </c>
      <c r="P86" s="89">
        <f t="shared" si="13"/>
        <v>0</v>
      </c>
      <c r="Q86" s="89">
        <f t="shared" si="13"/>
        <v>0</v>
      </c>
      <c r="R86" s="89">
        <f t="shared" si="13"/>
        <v>0</v>
      </c>
      <c r="S86" s="89">
        <f>SUM(S76:S83)</f>
        <v>0</v>
      </c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x14ac:dyDescent="0.2"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x14ac:dyDescent="0.2">
      <c r="A88" s="346" t="s">
        <v>67</v>
      </c>
      <c r="B88" s="347"/>
      <c r="C88" s="34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106"/>
      <c r="O88" s="106"/>
      <c r="P88" s="106"/>
      <c r="Q88" s="106"/>
      <c r="R88" s="106"/>
      <c r="S88" s="106" t="str">
        <f t="shared" ref="S88" si="14">S75</f>
        <v>Total</v>
      </c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x14ac:dyDescent="0.2">
      <c r="A89" s="231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5"/>
      <c r="O89" s="205"/>
      <c r="P89" s="205"/>
      <c r="Q89" s="205"/>
      <c r="R89" s="205"/>
      <c r="S89" s="86">
        <f>SUM(N89:R89)</f>
        <v>0</v>
      </c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x14ac:dyDescent="0.2">
      <c r="A90" s="23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5"/>
      <c r="O90" s="205"/>
      <c r="P90" s="205"/>
      <c r="Q90" s="205"/>
      <c r="R90" s="205"/>
      <c r="S90" s="86">
        <f t="shared" ref="S90:S122" si="15">SUM(N90:R90)</f>
        <v>0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x14ac:dyDescent="0.2">
      <c r="A91" s="231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5"/>
      <c r="O91" s="205"/>
      <c r="P91" s="205"/>
      <c r="Q91" s="205"/>
      <c r="R91" s="205"/>
      <c r="S91" s="86">
        <f t="shared" si="15"/>
        <v>0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x14ac:dyDescent="0.2">
      <c r="A92" s="23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5"/>
      <c r="O92" s="205"/>
      <c r="P92" s="205"/>
      <c r="Q92" s="205"/>
      <c r="R92" s="205"/>
      <c r="S92" s="86">
        <f t="shared" si="15"/>
        <v>0</v>
      </c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x14ac:dyDescent="0.2">
      <c r="A93" s="23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5"/>
      <c r="O93" s="205"/>
      <c r="P93" s="205"/>
      <c r="Q93" s="205"/>
      <c r="R93" s="205"/>
      <c r="S93" s="86">
        <f t="shared" si="15"/>
        <v>0</v>
      </c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x14ac:dyDescent="0.2">
      <c r="A94" s="23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5"/>
      <c r="O94" s="205"/>
      <c r="P94" s="205"/>
      <c r="Q94" s="205"/>
      <c r="R94" s="205"/>
      <c r="S94" s="86">
        <f t="shared" si="15"/>
        <v>0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x14ac:dyDescent="0.2">
      <c r="A95" s="231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5"/>
      <c r="O95" s="205"/>
      <c r="P95" s="205"/>
      <c r="Q95" s="205"/>
      <c r="R95" s="205"/>
      <c r="S95" s="86">
        <f t="shared" si="15"/>
        <v>0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x14ac:dyDescent="0.2">
      <c r="A96" s="231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5"/>
      <c r="O96" s="205"/>
      <c r="P96" s="205"/>
      <c r="Q96" s="205"/>
      <c r="R96" s="205"/>
      <c r="S96" s="86">
        <f t="shared" si="15"/>
        <v>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idden="1" x14ac:dyDescent="0.2">
      <c r="A97" s="23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5"/>
      <c r="O97" s="205"/>
      <c r="P97" s="205"/>
      <c r="Q97" s="205"/>
      <c r="R97" s="205"/>
      <c r="S97" s="86">
        <f t="shared" si="15"/>
        <v>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idden="1" x14ac:dyDescent="0.2">
      <c r="A98" s="23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5"/>
      <c r="O98" s="205"/>
      <c r="P98" s="205"/>
      <c r="Q98" s="205"/>
      <c r="R98" s="205"/>
      <c r="S98" s="86">
        <f t="shared" si="15"/>
        <v>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idden="1" x14ac:dyDescent="0.2">
      <c r="A99" s="231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5"/>
      <c r="O99" s="205"/>
      <c r="P99" s="205"/>
      <c r="Q99" s="205"/>
      <c r="R99" s="205"/>
      <c r="S99" s="86">
        <f t="shared" si="15"/>
        <v>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idden="1" x14ac:dyDescent="0.2">
      <c r="A100" s="231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5"/>
      <c r="O100" s="205"/>
      <c r="P100" s="205"/>
      <c r="Q100" s="205"/>
      <c r="R100" s="205"/>
      <c r="S100" s="86">
        <f t="shared" si="15"/>
        <v>0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idden="1" x14ac:dyDescent="0.2">
      <c r="A101" s="231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5"/>
      <c r="O101" s="205"/>
      <c r="P101" s="205"/>
      <c r="Q101" s="205"/>
      <c r="R101" s="205"/>
      <c r="S101" s="86">
        <f t="shared" si="15"/>
        <v>0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idden="1" x14ac:dyDescent="0.2">
      <c r="A102" s="23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5"/>
      <c r="O102" s="205"/>
      <c r="P102" s="205"/>
      <c r="Q102" s="205"/>
      <c r="R102" s="205"/>
      <c r="S102" s="86">
        <f t="shared" si="15"/>
        <v>0</v>
      </c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hidden="1" x14ac:dyDescent="0.2">
      <c r="A103" s="23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5"/>
      <c r="O103" s="205"/>
      <c r="P103" s="205"/>
      <c r="Q103" s="205"/>
      <c r="R103" s="205"/>
      <c r="S103" s="86">
        <f t="shared" si="15"/>
        <v>0</v>
      </c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</row>
    <row r="104" spans="1:51" hidden="1" x14ac:dyDescent="0.2">
      <c r="A104" s="231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5"/>
      <c r="O104" s="205"/>
      <c r="P104" s="205"/>
      <c r="Q104" s="205"/>
      <c r="R104" s="205"/>
      <c r="S104" s="86">
        <f t="shared" si="15"/>
        <v>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</row>
    <row r="105" spans="1:51" hidden="1" x14ac:dyDescent="0.2">
      <c r="A105" s="231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5"/>
      <c r="O105" s="205"/>
      <c r="P105" s="205"/>
      <c r="Q105" s="205"/>
      <c r="R105" s="205"/>
      <c r="S105" s="86">
        <f t="shared" si="15"/>
        <v>0</v>
      </c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</row>
    <row r="106" spans="1:51" hidden="1" x14ac:dyDescent="0.2">
      <c r="A106" s="23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5"/>
      <c r="O106" s="205"/>
      <c r="P106" s="205"/>
      <c r="Q106" s="205"/>
      <c r="R106" s="205"/>
      <c r="S106" s="86">
        <f t="shared" si="15"/>
        <v>0</v>
      </c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</row>
    <row r="107" spans="1:51" hidden="1" x14ac:dyDescent="0.2">
      <c r="A107" s="231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5"/>
      <c r="O107" s="205"/>
      <c r="P107" s="205"/>
      <c r="Q107" s="205"/>
      <c r="R107" s="205"/>
      <c r="S107" s="86">
        <f t="shared" si="15"/>
        <v>0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</row>
    <row r="108" spans="1:51" hidden="1" x14ac:dyDescent="0.2">
      <c r="A108" s="231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5"/>
      <c r="O108" s="205"/>
      <c r="P108" s="205"/>
      <c r="Q108" s="205"/>
      <c r="R108" s="205"/>
      <c r="S108" s="86">
        <f t="shared" si="15"/>
        <v>0</v>
      </c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</row>
    <row r="109" spans="1:51" hidden="1" x14ac:dyDescent="0.2">
      <c r="A109" s="231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5"/>
      <c r="O109" s="205"/>
      <c r="P109" s="205"/>
      <c r="Q109" s="205"/>
      <c r="R109" s="205"/>
      <c r="S109" s="86">
        <f t="shared" si="15"/>
        <v>0</v>
      </c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</row>
    <row r="110" spans="1:51" hidden="1" x14ac:dyDescent="0.2">
      <c r="A110" s="231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5"/>
      <c r="O110" s="205"/>
      <c r="P110" s="205"/>
      <c r="Q110" s="205"/>
      <c r="R110" s="205"/>
      <c r="S110" s="86">
        <f t="shared" si="15"/>
        <v>0</v>
      </c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</row>
    <row r="111" spans="1:51" hidden="1" x14ac:dyDescent="0.2">
      <c r="A111" s="23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5"/>
      <c r="O111" s="205"/>
      <c r="P111" s="205"/>
      <c r="Q111" s="205"/>
      <c r="R111" s="205"/>
      <c r="S111" s="86">
        <f t="shared" si="15"/>
        <v>0</v>
      </c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</row>
    <row r="112" spans="1:51" hidden="1" x14ac:dyDescent="0.2">
      <c r="A112" s="231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5"/>
      <c r="O112" s="205"/>
      <c r="P112" s="205"/>
      <c r="Q112" s="205"/>
      <c r="R112" s="205"/>
      <c r="S112" s="86">
        <f t="shared" si="15"/>
        <v>0</v>
      </c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</row>
    <row r="113" spans="1:51" hidden="1" x14ac:dyDescent="0.2">
      <c r="A113" s="231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5"/>
      <c r="O113" s="205"/>
      <c r="P113" s="205"/>
      <c r="Q113" s="205"/>
      <c r="R113" s="205"/>
      <c r="S113" s="86">
        <f t="shared" si="15"/>
        <v>0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</row>
    <row r="114" spans="1:51" hidden="1" x14ac:dyDescent="0.2">
      <c r="A114" s="231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5"/>
      <c r="O114" s="205"/>
      <c r="P114" s="205"/>
      <c r="Q114" s="205"/>
      <c r="R114" s="205"/>
      <c r="S114" s="86">
        <f t="shared" si="15"/>
        <v>0</v>
      </c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</row>
    <row r="115" spans="1:51" hidden="1" x14ac:dyDescent="0.2">
      <c r="A115" s="231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5"/>
      <c r="O115" s="205"/>
      <c r="P115" s="205"/>
      <c r="Q115" s="205"/>
      <c r="R115" s="205"/>
      <c r="S115" s="86">
        <f t="shared" si="15"/>
        <v>0</v>
      </c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</row>
    <row r="116" spans="1:51" hidden="1" x14ac:dyDescent="0.2">
      <c r="A116" s="23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5"/>
      <c r="O116" s="205"/>
      <c r="P116" s="205"/>
      <c r="Q116" s="205"/>
      <c r="R116" s="205"/>
      <c r="S116" s="86">
        <f t="shared" si="15"/>
        <v>0</v>
      </c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</row>
    <row r="117" spans="1:51" hidden="1" x14ac:dyDescent="0.2">
      <c r="A117" s="231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5"/>
      <c r="O117" s="205"/>
      <c r="P117" s="205"/>
      <c r="Q117" s="205"/>
      <c r="R117" s="205"/>
      <c r="S117" s="86">
        <f t="shared" si="15"/>
        <v>0</v>
      </c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</row>
    <row r="118" spans="1:51" hidden="1" x14ac:dyDescent="0.2">
      <c r="A118" s="231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5"/>
      <c r="O118" s="205"/>
      <c r="P118" s="205"/>
      <c r="Q118" s="205"/>
      <c r="R118" s="205"/>
      <c r="S118" s="86">
        <f t="shared" si="15"/>
        <v>0</v>
      </c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</row>
    <row r="119" spans="1:51" hidden="1" x14ac:dyDescent="0.2">
      <c r="A119" s="231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5"/>
      <c r="O119" s="205"/>
      <c r="P119" s="205"/>
      <c r="Q119" s="205"/>
      <c r="R119" s="205"/>
      <c r="S119" s="86">
        <f t="shared" si="15"/>
        <v>0</v>
      </c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</row>
    <row r="120" spans="1:51" hidden="1" x14ac:dyDescent="0.2">
      <c r="A120" s="231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5"/>
      <c r="O120" s="205"/>
      <c r="P120" s="205"/>
      <c r="Q120" s="205"/>
      <c r="R120" s="205"/>
      <c r="S120" s="86">
        <f t="shared" si="15"/>
        <v>0</v>
      </c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</row>
    <row r="121" spans="1:51" hidden="1" x14ac:dyDescent="0.2">
      <c r="A121" s="231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5"/>
      <c r="O121" s="205"/>
      <c r="P121" s="205"/>
      <c r="Q121" s="205"/>
      <c r="R121" s="205"/>
      <c r="S121" s="86">
        <f t="shared" si="15"/>
        <v>0</v>
      </c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</row>
    <row r="122" spans="1:51" hidden="1" x14ac:dyDescent="0.2">
      <c r="A122" s="231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5"/>
      <c r="O122" s="205"/>
      <c r="P122" s="205"/>
      <c r="Q122" s="205"/>
      <c r="R122" s="205"/>
      <c r="S122" s="86">
        <f t="shared" si="15"/>
        <v>0</v>
      </c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</row>
    <row r="123" spans="1:51" x14ac:dyDescent="0.2">
      <c r="A123" s="348" t="s">
        <v>68</v>
      </c>
      <c r="B123" s="349"/>
      <c r="C123" s="3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53">
        <f>SUM(N89:N122)</f>
        <v>0</v>
      </c>
      <c r="O123" s="153">
        <f t="shared" ref="O123:R123" si="16">SUM(O89:O122)</f>
        <v>0</v>
      </c>
      <c r="P123" s="153">
        <f t="shared" si="16"/>
        <v>0</v>
      </c>
      <c r="Q123" s="153">
        <f t="shared" si="16"/>
        <v>0</v>
      </c>
      <c r="R123" s="153">
        <f t="shared" si="16"/>
        <v>0</v>
      </c>
      <c r="S123" s="153">
        <f>SUM(S89:S122)</f>
        <v>0</v>
      </c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</row>
    <row r="124" spans="1:51" x14ac:dyDescent="0.2"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</row>
    <row r="125" spans="1:51" x14ac:dyDescent="0.2">
      <c r="A125" s="346" t="s">
        <v>69</v>
      </c>
      <c r="B125" s="347"/>
      <c r="C125" s="347"/>
      <c r="D125" s="55"/>
      <c r="E125" s="55"/>
      <c r="F125" s="55"/>
      <c r="G125" s="55"/>
      <c r="H125" s="55"/>
      <c r="I125" s="55"/>
      <c r="J125" s="55"/>
      <c r="K125" s="350" t="s">
        <v>188</v>
      </c>
      <c r="L125" s="351"/>
      <c r="M125" s="352"/>
      <c r="N125" s="106"/>
      <c r="O125" s="106"/>
      <c r="P125" s="106"/>
      <c r="Q125" s="106"/>
      <c r="R125" s="106"/>
      <c r="S125" s="106" t="str">
        <f t="shared" ref="S125" si="17">S88</f>
        <v>Total</v>
      </c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</row>
    <row r="126" spans="1:51" x14ac:dyDescent="0.2">
      <c r="A126" s="231"/>
      <c r="B126" s="203"/>
      <c r="C126" s="203"/>
      <c r="D126" s="203"/>
      <c r="E126" s="203"/>
      <c r="F126" s="203"/>
      <c r="G126" s="203"/>
      <c r="H126" s="203"/>
      <c r="I126" s="203"/>
      <c r="J126" s="203"/>
      <c r="K126" s="343" t="s">
        <v>111</v>
      </c>
      <c r="L126" s="344"/>
      <c r="M126" s="345"/>
      <c r="N126" s="206"/>
      <c r="O126" s="206"/>
      <c r="P126" s="206"/>
      <c r="Q126" s="206"/>
      <c r="R126" s="206"/>
      <c r="S126" s="86">
        <f>SUM(N126:R126)</f>
        <v>0</v>
      </c>
      <c r="T126" s="249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</row>
    <row r="127" spans="1:51" x14ac:dyDescent="0.2">
      <c r="A127" s="231"/>
      <c r="B127" s="203"/>
      <c r="C127" s="203"/>
      <c r="D127" s="203"/>
      <c r="E127" s="203"/>
      <c r="F127" s="203"/>
      <c r="G127" s="203"/>
      <c r="H127" s="203"/>
      <c r="I127" s="203"/>
      <c r="J127" s="203"/>
      <c r="K127" s="343" t="s">
        <v>111</v>
      </c>
      <c r="L127" s="344"/>
      <c r="M127" s="345"/>
      <c r="N127" s="206"/>
      <c r="O127" s="206"/>
      <c r="P127" s="206"/>
      <c r="Q127" s="206"/>
      <c r="R127" s="206"/>
      <c r="S127" s="86">
        <f t="shared" ref="S127:S140" si="18">SUM(N127:R127)</f>
        <v>0</v>
      </c>
      <c r="T127" s="249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</row>
    <row r="128" spans="1:51" x14ac:dyDescent="0.2">
      <c r="A128" s="231"/>
      <c r="B128" s="203"/>
      <c r="C128" s="203"/>
      <c r="D128" s="203"/>
      <c r="E128" s="203"/>
      <c r="F128" s="203"/>
      <c r="G128" s="203"/>
      <c r="H128" s="203"/>
      <c r="I128" s="203"/>
      <c r="J128" s="203"/>
      <c r="K128" s="343" t="s">
        <v>111</v>
      </c>
      <c r="L128" s="344"/>
      <c r="M128" s="345"/>
      <c r="N128" s="206"/>
      <c r="O128" s="206"/>
      <c r="P128" s="206"/>
      <c r="Q128" s="206"/>
      <c r="R128" s="206"/>
      <c r="S128" s="86">
        <f t="shared" si="18"/>
        <v>0</v>
      </c>
      <c r="T128" s="249"/>
      <c r="U128" s="249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</row>
    <row r="129" spans="1:51" x14ac:dyDescent="0.2">
      <c r="A129" s="231"/>
      <c r="B129" s="203"/>
      <c r="C129" s="203"/>
      <c r="D129" s="203"/>
      <c r="E129" s="203"/>
      <c r="F129" s="203"/>
      <c r="G129" s="203"/>
      <c r="H129" s="203"/>
      <c r="I129" s="203"/>
      <c r="J129" s="203"/>
      <c r="K129" s="343" t="s">
        <v>111</v>
      </c>
      <c r="L129" s="344"/>
      <c r="M129" s="345"/>
      <c r="N129" s="206"/>
      <c r="O129" s="206"/>
      <c r="P129" s="206"/>
      <c r="Q129" s="206"/>
      <c r="R129" s="206"/>
      <c r="S129" s="86">
        <f t="shared" si="18"/>
        <v>0</v>
      </c>
      <c r="T129" s="249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</row>
    <row r="130" spans="1:51" x14ac:dyDescent="0.2">
      <c r="A130" s="231"/>
      <c r="B130" s="203"/>
      <c r="C130" s="203"/>
      <c r="D130" s="203"/>
      <c r="E130" s="203"/>
      <c r="F130" s="203"/>
      <c r="G130" s="203"/>
      <c r="H130" s="203"/>
      <c r="I130" s="203"/>
      <c r="J130" s="203"/>
      <c r="K130" s="343" t="s">
        <v>111</v>
      </c>
      <c r="L130" s="344"/>
      <c r="M130" s="345"/>
      <c r="N130" s="206"/>
      <c r="O130" s="206"/>
      <c r="P130" s="206"/>
      <c r="Q130" s="206"/>
      <c r="R130" s="206"/>
      <c r="S130" s="86">
        <f t="shared" si="18"/>
        <v>0</v>
      </c>
      <c r="T130" s="249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</row>
    <row r="131" spans="1:51" x14ac:dyDescent="0.2">
      <c r="A131" s="231"/>
      <c r="B131" s="203"/>
      <c r="C131" s="203"/>
      <c r="D131" s="203"/>
      <c r="E131" s="203"/>
      <c r="F131" s="203"/>
      <c r="G131" s="203"/>
      <c r="H131" s="203"/>
      <c r="I131" s="203"/>
      <c r="J131" s="203"/>
      <c r="K131" s="343" t="s">
        <v>111</v>
      </c>
      <c r="L131" s="344"/>
      <c r="M131" s="345"/>
      <c r="N131" s="206"/>
      <c r="O131" s="206"/>
      <c r="P131" s="206"/>
      <c r="Q131" s="206"/>
      <c r="R131" s="206"/>
      <c r="S131" s="86">
        <f t="shared" si="18"/>
        <v>0</v>
      </c>
      <c r="T131" s="249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</row>
    <row r="132" spans="1:51" x14ac:dyDescent="0.2">
      <c r="A132" s="231"/>
      <c r="B132" s="203"/>
      <c r="C132" s="203"/>
      <c r="D132" s="203"/>
      <c r="E132" s="203"/>
      <c r="F132" s="203"/>
      <c r="G132" s="203"/>
      <c r="H132" s="203"/>
      <c r="I132" s="203"/>
      <c r="J132" s="203"/>
      <c r="K132" s="343" t="s">
        <v>111</v>
      </c>
      <c r="L132" s="344"/>
      <c r="M132" s="345"/>
      <c r="N132" s="206"/>
      <c r="O132" s="206"/>
      <c r="P132" s="206"/>
      <c r="Q132" s="206"/>
      <c r="R132" s="206"/>
      <c r="S132" s="86">
        <f t="shared" si="18"/>
        <v>0</v>
      </c>
      <c r="T132" s="249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</row>
    <row r="133" spans="1:51" hidden="1" x14ac:dyDescent="0.2">
      <c r="A133" s="231"/>
      <c r="B133" s="203"/>
      <c r="C133" s="203"/>
      <c r="D133" s="203"/>
      <c r="E133" s="203"/>
      <c r="F133" s="203"/>
      <c r="G133" s="203"/>
      <c r="H133" s="203"/>
      <c r="I133" s="203"/>
      <c r="J133" s="203"/>
      <c r="K133" s="343" t="s">
        <v>111</v>
      </c>
      <c r="L133" s="344"/>
      <c r="M133" s="345"/>
      <c r="N133" s="206"/>
      <c r="O133" s="206"/>
      <c r="P133" s="206"/>
      <c r="Q133" s="206"/>
      <c r="R133" s="206"/>
      <c r="S133" s="86">
        <f t="shared" si="18"/>
        <v>0</v>
      </c>
      <c r="T133" s="249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</row>
    <row r="134" spans="1:51" hidden="1" x14ac:dyDescent="0.2">
      <c r="A134" s="231"/>
      <c r="B134" s="203"/>
      <c r="C134" s="203"/>
      <c r="D134" s="203"/>
      <c r="E134" s="203"/>
      <c r="F134" s="203"/>
      <c r="G134" s="203"/>
      <c r="H134" s="203"/>
      <c r="I134" s="203"/>
      <c r="J134" s="203"/>
      <c r="K134" s="343" t="s">
        <v>111</v>
      </c>
      <c r="L134" s="344"/>
      <c r="M134" s="345"/>
      <c r="N134" s="206"/>
      <c r="O134" s="206"/>
      <c r="P134" s="206"/>
      <c r="Q134" s="206"/>
      <c r="R134" s="206"/>
      <c r="S134" s="86">
        <f t="shared" si="18"/>
        <v>0</v>
      </c>
      <c r="T134" s="249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</row>
    <row r="135" spans="1:51" hidden="1" x14ac:dyDescent="0.2">
      <c r="A135" s="231"/>
      <c r="B135" s="203"/>
      <c r="C135" s="203"/>
      <c r="D135" s="203"/>
      <c r="E135" s="203"/>
      <c r="F135" s="203"/>
      <c r="G135" s="203"/>
      <c r="H135" s="203"/>
      <c r="I135" s="203"/>
      <c r="J135" s="203"/>
      <c r="K135" s="343" t="s">
        <v>111</v>
      </c>
      <c r="L135" s="344"/>
      <c r="M135" s="345"/>
      <c r="N135" s="206"/>
      <c r="O135" s="206"/>
      <c r="P135" s="206"/>
      <c r="Q135" s="206"/>
      <c r="R135" s="206"/>
      <c r="S135" s="86">
        <f t="shared" si="18"/>
        <v>0</v>
      </c>
      <c r="T135" s="249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</row>
    <row r="136" spans="1:51" hidden="1" x14ac:dyDescent="0.2">
      <c r="A136" s="231"/>
      <c r="B136" s="203"/>
      <c r="C136" s="203"/>
      <c r="D136" s="203"/>
      <c r="E136" s="203"/>
      <c r="F136" s="203"/>
      <c r="G136" s="203"/>
      <c r="H136" s="203"/>
      <c r="I136" s="203"/>
      <c r="J136" s="203"/>
      <c r="K136" s="343" t="s">
        <v>111</v>
      </c>
      <c r="L136" s="344"/>
      <c r="M136" s="345"/>
      <c r="N136" s="206"/>
      <c r="O136" s="206"/>
      <c r="P136" s="206"/>
      <c r="Q136" s="206"/>
      <c r="R136" s="206"/>
      <c r="S136" s="86">
        <f t="shared" si="18"/>
        <v>0</v>
      </c>
      <c r="T136" s="249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</row>
    <row r="137" spans="1:51" hidden="1" x14ac:dyDescent="0.2">
      <c r="A137" s="231"/>
      <c r="B137" s="203"/>
      <c r="C137" s="203"/>
      <c r="D137" s="203"/>
      <c r="E137" s="203"/>
      <c r="F137" s="203"/>
      <c r="G137" s="203"/>
      <c r="H137" s="203"/>
      <c r="I137" s="203"/>
      <c r="J137" s="203"/>
      <c r="K137" s="343" t="s">
        <v>111</v>
      </c>
      <c r="L137" s="344"/>
      <c r="M137" s="345"/>
      <c r="N137" s="206"/>
      <c r="O137" s="206"/>
      <c r="P137" s="206"/>
      <c r="Q137" s="206"/>
      <c r="R137" s="206"/>
      <c r="S137" s="86">
        <f t="shared" si="18"/>
        <v>0</v>
      </c>
      <c r="T137" s="249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</row>
    <row r="138" spans="1:51" hidden="1" x14ac:dyDescent="0.2">
      <c r="A138" s="231"/>
      <c r="B138" s="203"/>
      <c r="C138" s="203"/>
      <c r="D138" s="203"/>
      <c r="E138" s="203"/>
      <c r="F138" s="203"/>
      <c r="G138" s="203"/>
      <c r="H138" s="203"/>
      <c r="I138" s="203"/>
      <c r="J138" s="203"/>
      <c r="K138" s="343" t="s">
        <v>111</v>
      </c>
      <c r="L138" s="344"/>
      <c r="M138" s="345"/>
      <c r="N138" s="206"/>
      <c r="O138" s="206"/>
      <c r="P138" s="206"/>
      <c r="Q138" s="206"/>
      <c r="R138" s="206"/>
      <c r="S138" s="86">
        <f t="shared" si="18"/>
        <v>0</v>
      </c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</row>
    <row r="139" spans="1:51" hidden="1" x14ac:dyDescent="0.2">
      <c r="A139" s="231"/>
      <c r="B139" s="203"/>
      <c r="C139" s="203"/>
      <c r="D139" s="203"/>
      <c r="E139" s="203"/>
      <c r="F139" s="203"/>
      <c r="G139" s="203"/>
      <c r="H139" s="203"/>
      <c r="I139" s="203"/>
      <c r="J139" s="203"/>
      <c r="K139" s="343" t="s">
        <v>111</v>
      </c>
      <c r="L139" s="344"/>
      <c r="M139" s="345"/>
      <c r="N139" s="206"/>
      <c r="O139" s="206"/>
      <c r="P139" s="206"/>
      <c r="Q139" s="206"/>
      <c r="R139" s="206"/>
      <c r="S139" s="86">
        <f t="shared" si="18"/>
        <v>0</v>
      </c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</row>
    <row r="140" spans="1:51" hidden="1" x14ac:dyDescent="0.2">
      <c r="A140" s="231"/>
      <c r="B140" s="203"/>
      <c r="C140" s="203"/>
      <c r="D140" s="203"/>
      <c r="E140" s="203"/>
      <c r="F140" s="203"/>
      <c r="G140" s="203"/>
      <c r="H140" s="203"/>
      <c r="I140" s="203"/>
      <c r="J140" s="203"/>
      <c r="K140" s="343" t="s">
        <v>111</v>
      </c>
      <c r="L140" s="344"/>
      <c r="M140" s="345"/>
      <c r="N140" s="206"/>
      <c r="O140" s="206"/>
      <c r="P140" s="206"/>
      <c r="Q140" s="206"/>
      <c r="R140" s="206"/>
      <c r="S140" s="86">
        <f t="shared" si="18"/>
        <v>0</v>
      </c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</row>
    <row r="141" spans="1:51" x14ac:dyDescent="0.2">
      <c r="A141" s="348" t="s">
        <v>70</v>
      </c>
      <c r="B141" s="349"/>
      <c r="C141" s="349"/>
      <c r="D141" s="149"/>
      <c r="E141" s="149"/>
      <c r="F141" s="149"/>
      <c r="G141" s="149"/>
      <c r="H141" s="149"/>
      <c r="I141" s="149"/>
      <c r="J141" s="149"/>
      <c r="K141" s="154"/>
      <c r="L141" s="149"/>
      <c r="M141" s="155"/>
      <c r="N141" s="153">
        <f>SUM(N126:N140)</f>
        <v>0</v>
      </c>
      <c r="O141" s="153">
        <f t="shared" ref="O141:R141" si="19">SUM(O126:O140)</f>
        <v>0</v>
      </c>
      <c r="P141" s="153">
        <f t="shared" si="19"/>
        <v>0</v>
      </c>
      <c r="Q141" s="153">
        <f t="shared" si="19"/>
        <v>0</v>
      </c>
      <c r="R141" s="153">
        <f t="shared" si="19"/>
        <v>0</v>
      </c>
      <c r="S141" s="153">
        <f>SUM(S126:S140)</f>
        <v>0</v>
      </c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</row>
    <row r="142" spans="1:51" x14ac:dyDescent="0.2">
      <c r="A142" s="324" t="s">
        <v>187</v>
      </c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6"/>
      <c r="N142" s="137">
        <f>IF($K126="IC of Above",N126,0)+IF($K127="IC of Above",N127,0)+IF($K128="IC of Above",N128,0)+IF($K129="IC of Above",N129,0)+IF($K130="IC of Above",N130,0)+IF($K131="IC of Above",N131,0)+IF($K132="IC of Above",N132,0)+IF($K133="IC of Above",N133,0)+IF($K134="IC of Above",N134,0)+IF($K135="IC of Above",N135,0)+IF($K136="IC of Above",N136,0)+IF($K137="IC of Above",N137,0)+IF($K138="IC of Above",N138,0)+IF($K139="IC of Above",N139,0)+IF($K140="IC of Above",N140,0)</f>
        <v>0</v>
      </c>
      <c r="O142" s="137">
        <f t="shared" ref="O142:R142" si="20">IF($K126="IC of Above",O126,0)+IF($K127="IC of Above",O127,0)+IF($K128="IC of Above",O128,0)+IF($K129="IC of Above",O129,0)+IF($K130="IC of Above",O130,0)+IF($K131="IC of Above",O131,0)+IF($K132="IC of Above",O132,0)+IF($K133="IC of Above",O133,0)+IF($K134="IC of Above",O134,0)+IF($K135="IC of Above",O135,0)+IF($K136="IC of Above",O136,0)+IF($K137="IC of Above",O137,0)+IF($K138="IC of Above",O138,0)+IF($K139="IC of Above",O139,0)+IF($K140="IC of Above",O140,0)</f>
        <v>0</v>
      </c>
      <c r="P142" s="137">
        <f t="shared" si="20"/>
        <v>0</v>
      </c>
      <c r="Q142" s="137">
        <f t="shared" si="20"/>
        <v>0</v>
      </c>
      <c r="R142" s="137">
        <f t="shared" si="20"/>
        <v>0</v>
      </c>
      <c r="S142" s="137">
        <f>SUM(N142:R142)</f>
        <v>0</v>
      </c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</row>
    <row r="143" spans="1:51" x14ac:dyDescent="0.2">
      <c r="A143" s="103" t="s">
        <v>71</v>
      </c>
      <c r="B143" s="104"/>
      <c r="C143" s="104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106"/>
      <c r="O143" s="106"/>
      <c r="P143" s="106"/>
      <c r="Q143" s="106"/>
      <c r="R143" s="106"/>
      <c r="S143" s="106" t="str">
        <f t="shared" ref="S143" si="21">S125</f>
        <v>Total</v>
      </c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</row>
    <row r="144" spans="1:51" x14ac:dyDescent="0.2">
      <c r="A144" s="231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14"/>
      <c r="O144" s="214"/>
      <c r="P144" s="214"/>
      <c r="Q144" s="214"/>
      <c r="R144" s="214"/>
      <c r="S144" s="90">
        <f>SUM(N144:R144)</f>
        <v>0</v>
      </c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</row>
    <row r="145" spans="1:51" x14ac:dyDescent="0.2">
      <c r="A145" s="231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14"/>
      <c r="O145" s="214"/>
      <c r="P145" s="214"/>
      <c r="Q145" s="214"/>
      <c r="R145" s="214"/>
      <c r="S145" s="90">
        <f t="shared" ref="S145:S152" si="22">SUM(N145:R145)</f>
        <v>0</v>
      </c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</row>
    <row r="146" spans="1:51" x14ac:dyDescent="0.2">
      <c r="A146" s="231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14"/>
      <c r="O146" s="214"/>
      <c r="P146" s="214"/>
      <c r="Q146" s="214"/>
      <c r="R146" s="214"/>
      <c r="S146" s="90">
        <f t="shared" si="22"/>
        <v>0</v>
      </c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</row>
    <row r="147" spans="1:51" hidden="1" x14ac:dyDescent="0.2">
      <c r="A147" s="231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14"/>
      <c r="O147" s="214"/>
      <c r="P147" s="214"/>
      <c r="Q147" s="214"/>
      <c r="R147" s="214"/>
      <c r="S147" s="87">
        <f t="shared" si="22"/>
        <v>0</v>
      </c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</row>
    <row r="148" spans="1:51" hidden="1" x14ac:dyDescent="0.2">
      <c r="A148" s="231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14"/>
      <c r="O148" s="214"/>
      <c r="P148" s="214"/>
      <c r="Q148" s="214"/>
      <c r="R148" s="214"/>
      <c r="S148" s="87">
        <f t="shared" si="22"/>
        <v>0</v>
      </c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</row>
    <row r="149" spans="1:51" hidden="1" x14ac:dyDescent="0.2">
      <c r="A149" s="231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14"/>
      <c r="O149" s="214"/>
      <c r="P149" s="214"/>
      <c r="Q149" s="214"/>
      <c r="R149" s="214"/>
      <c r="S149" s="87">
        <f t="shared" si="22"/>
        <v>0</v>
      </c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</row>
    <row r="150" spans="1:51" hidden="1" x14ac:dyDescent="0.2">
      <c r="A150" s="231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14"/>
      <c r="O150" s="214"/>
      <c r="P150" s="214"/>
      <c r="Q150" s="214"/>
      <c r="R150" s="214"/>
      <c r="S150" s="87">
        <f t="shared" si="22"/>
        <v>0</v>
      </c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</row>
    <row r="151" spans="1:51" hidden="1" x14ac:dyDescent="0.2">
      <c r="A151" s="231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14"/>
      <c r="O151" s="214"/>
      <c r="P151" s="214"/>
      <c r="Q151" s="214"/>
      <c r="R151" s="214"/>
      <c r="S151" s="87">
        <f t="shared" si="22"/>
        <v>0</v>
      </c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</row>
    <row r="152" spans="1:51" hidden="1" x14ac:dyDescent="0.2">
      <c r="A152" s="231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4"/>
      <c r="O152" s="204"/>
      <c r="P152" s="204"/>
      <c r="Q152" s="204"/>
      <c r="R152" s="204"/>
      <c r="S152" s="87">
        <f t="shared" si="22"/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</row>
    <row r="153" spans="1:51" x14ac:dyDescent="0.2">
      <c r="A153" s="156" t="s">
        <v>72</v>
      </c>
      <c r="B153" s="157"/>
      <c r="C153" s="157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58">
        <f>SUM(N144:N152)</f>
        <v>0</v>
      </c>
      <c r="O153" s="158">
        <f t="shared" ref="O153:R153" si="23">SUM(O144:O152)</f>
        <v>0</v>
      </c>
      <c r="P153" s="158">
        <f t="shared" si="23"/>
        <v>0</v>
      </c>
      <c r="Q153" s="158">
        <f t="shared" si="23"/>
        <v>0</v>
      </c>
      <c r="R153" s="158">
        <f t="shared" si="23"/>
        <v>0</v>
      </c>
      <c r="S153" s="159">
        <f>SUM(S144:S152)</f>
        <v>0</v>
      </c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</row>
    <row r="154" spans="1:51" x14ac:dyDescent="0.2">
      <c r="A154" s="268" t="s">
        <v>73</v>
      </c>
      <c r="B154" s="269"/>
      <c r="C154" s="269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89">
        <f>N141+N153</f>
        <v>0</v>
      </c>
      <c r="O154" s="89">
        <f t="shared" ref="O154:S154" si="24">O141+O153</f>
        <v>0</v>
      </c>
      <c r="P154" s="89">
        <f t="shared" si="24"/>
        <v>0</v>
      </c>
      <c r="Q154" s="89">
        <f t="shared" si="24"/>
        <v>0</v>
      </c>
      <c r="R154" s="89">
        <f t="shared" si="24"/>
        <v>0</v>
      </c>
      <c r="S154" s="91">
        <f t="shared" si="24"/>
        <v>0</v>
      </c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</row>
    <row r="155" spans="1:51" x14ac:dyDescent="0.2"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</row>
    <row r="156" spans="1:51" x14ac:dyDescent="0.2">
      <c r="A156" s="346" t="s">
        <v>74</v>
      </c>
      <c r="B156" s="347"/>
      <c r="C156" s="347"/>
      <c r="D156" s="49"/>
      <c r="E156" s="49"/>
      <c r="F156" s="49"/>
      <c r="G156" s="49"/>
      <c r="H156" s="49"/>
      <c r="I156" s="49"/>
      <c r="J156" s="49"/>
      <c r="K156" s="49"/>
      <c r="L156" s="49"/>
      <c r="M156" s="58"/>
      <c r="N156" s="106" t="s">
        <v>134</v>
      </c>
      <c r="O156" s="106" t="s">
        <v>135</v>
      </c>
      <c r="P156" s="106" t="s">
        <v>136</v>
      </c>
      <c r="Q156" s="106" t="s">
        <v>139</v>
      </c>
      <c r="R156" s="106" t="s">
        <v>137</v>
      </c>
      <c r="S156" s="106" t="s">
        <v>13</v>
      </c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</row>
    <row r="157" spans="1:51" x14ac:dyDescent="0.2">
      <c r="A157" s="59" t="s">
        <v>77</v>
      </c>
      <c r="B157" s="269"/>
      <c r="C157" s="269"/>
      <c r="D157" s="119" t="s">
        <v>162</v>
      </c>
      <c r="E157" s="60"/>
      <c r="F157" s="120" t="s">
        <v>133</v>
      </c>
      <c r="G157" s="49"/>
      <c r="H157" s="49"/>
      <c r="I157" s="50" t="s">
        <v>155</v>
      </c>
      <c r="J157" s="50" t="s">
        <v>156</v>
      </c>
      <c r="K157" s="50" t="s">
        <v>157</v>
      </c>
      <c r="L157" s="50" t="s">
        <v>158</v>
      </c>
      <c r="M157" s="50" t="s">
        <v>159</v>
      </c>
      <c r="N157" s="71" t="s">
        <v>78</v>
      </c>
      <c r="O157" s="55"/>
      <c r="P157" s="55"/>
      <c r="Q157" s="55"/>
      <c r="R157" s="55"/>
      <c r="S157" s="5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</row>
    <row r="158" spans="1:51" x14ac:dyDescent="0.2">
      <c r="A158" s="372" t="s">
        <v>161</v>
      </c>
      <c r="B158" s="373"/>
      <c r="C158" s="374"/>
      <c r="D158" s="370" t="s">
        <v>179</v>
      </c>
      <c r="E158" s="371"/>
      <c r="F158" s="209" t="s">
        <v>218</v>
      </c>
      <c r="G158" s="409" t="s">
        <v>163</v>
      </c>
      <c r="H158" s="410"/>
      <c r="I158" s="210" t="s">
        <v>160</v>
      </c>
      <c r="J158" s="210" t="s">
        <v>160</v>
      </c>
      <c r="K158" s="210" t="s">
        <v>160</v>
      </c>
      <c r="L158" s="210" t="s">
        <v>160</v>
      </c>
      <c r="M158" s="210" t="s">
        <v>160</v>
      </c>
      <c r="N158" s="163">
        <f>SUM(N159:N170)</f>
        <v>0</v>
      </c>
      <c r="O158" s="163">
        <f t="shared" ref="O158:R158" si="25">SUM(O159:O170)</f>
        <v>0</v>
      </c>
      <c r="P158" s="163">
        <f t="shared" si="25"/>
        <v>0</v>
      </c>
      <c r="Q158" s="163">
        <f>SUM(Q159:Q170)</f>
        <v>0</v>
      </c>
      <c r="R158" s="163">
        <f t="shared" si="25"/>
        <v>0</v>
      </c>
      <c r="S158" s="164">
        <f>SUM(N158:R158)</f>
        <v>0</v>
      </c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</row>
    <row r="159" spans="1:51" x14ac:dyDescent="0.2">
      <c r="A159" s="368"/>
      <c r="B159" s="377"/>
      <c r="C159" s="369"/>
      <c r="D159" s="368" t="s">
        <v>75</v>
      </c>
      <c r="E159" s="369"/>
      <c r="F159" s="207">
        <v>0.1</v>
      </c>
      <c r="G159" s="375">
        <v>17892</v>
      </c>
      <c r="H159" s="376"/>
      <c r="I159" s="208"/>
      <c r="J159" s="208"/>
      <c r="K159" s="208"/>
      <c r="L159" s="208"/>
      <c r="M159" s="208"/>
      <c r="N159" s="64">
        <f>IF(I$158="#GSRs",ROUND(('W9'!K162*I159)/3*'W9'!C$30,0),ROUND('R9'!I159/3*'W9'!K162,0))</f>
        <v>0</v>
      </c>
      <c r="O159" s="64">
        <f>IF(J$158="#GSRs",ROUND(('W9'!L162*J159)/3*'W9'!D$30,0),ROUND('R9'!J159/3*'W9'!L162,0))</f>
        <v>0</v>
      </c>
      <c r="P159" s="64">
        <f>IF(K$158="#GSRs",ROUND(('W9'!M162*K159)/3*'W9'!E$30,0),ROUND('R9'!K159/3*'W9'!M162,0))</f>
        <v>0</v>
      </c>
      <c r="Q159" s="64">
        <f>IF(L$158="#GSRs",ROUND(('W9'!N162*L159)/3*'W9'!F$30,0),ROUND('R9'!L159/3*'W9'!N162,0))</f>
        <v>0</v>
      </c>
      <c r="R159" s="64">
        <f>IF(M$158="#GSRs",ROUND(('W9'!O162*M159)/3*'W9'!G$30,0),ROUND('R9'!M159/3*'W9'!O162,0))</f>
        <v>0</v>
      </c>
      <c r="S159" s="64">
        <f>SUM(N159:R159)</f>
        <v>0</v>
      </c>
      <c r="T159" s="246"/>
      <c r="U159" s="246"/>
      <c r="V159" s="246"/>
      <c r="W159" s="246"/>
      <c r="X159" s="246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</row>
    <row r="160" spans="1:51" x14ac:dyDescent="0.2">
      <c r="A160" s="368"/>
      <c r="B160" s="377"/>
      <c r="C160" s="369"/>
      <c r="D160" s="368" t="s">
        <v>75</v>
      </c>
      <c r="E160" s="369"/>
      <c r="F160" s="207">
        <v>0.1</v>
      </c>
      <c r="G160" s="375">
        <v>17892</v>
      </c>
      <c r="H160" s="376"/>
      <c r="I160" s="208"/>
      <c r="J160" s="208"/>
      <c r="K160" s="208"/>
      <c r="L160" s="208"/>
      <c r="M160" s="208"/>
      <c r="N160" s="64">
        <f>IF(I$158="#GSRs",ROUND(('W9'!K163*I160)/3*'W9'!C$30,0),ROUND('R9'!I160/3*'W9'!K163,0))</f>
        <v>0</v>
      </c>
      <c r="O160" s="64">
        <f>IF(J$158="#GSRs",ROUND(('W9'!L163*J160)/3*'W9'!D$30,0),ROUND('R9'!J160/3*'W9'!L163,0))</f>
        <v>0</v>
      </c>
      <c r="P160" s="64">
        <f>IF(K$158="#GSRs",ROUND(('W9'!M163*K160)/3*'W9'!E$30,0),ROUND('R9'!K160/3*'W9'!M163,0))</f>
        <v>0</v>
      </c>
      <c r="Q160" s="64">
        <f>IF(L$158="#GSRs",ROUND(('W9'!N163*L160)/3*'W9'!F$30,0),ROUND('R9'!L160/3*'W9'!N163,0))</f>
        <v>0</v>
      </c>
      <c r="R160" s="64">
        <f>IF(M$158="#GSRs",ROUND(('W9'!O163*M160)/3*'W9'!G$30,0),ROUND('R9'!M160/3*'W9'!O163,0))</f>
        <v>0</v>
      </c>
      <c r="S160" s="64">
        <f t="shared" ref="S160" si="26">SUM(N160:R160)</f>
        <v>0</v>
      </c>
      <c r="T160" s="246"/>
      <c r="U160" s="246"/>
      <c r="V160" s="246"/>
      <c r="W160" s="246"/>
      <c r="X160" s="246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</row>
    <row r="161" spans="1:51" x14ac:dyDescent="0.2">
      <c r="A161" s="368"/>
      <c r="B161" s="377"/>
      <c r="C161" s="369"/>
      <c r="D161" s="368" t="s">
        <v>76</v>
      </c>
      <c r="E161" s="369"/>
      <c r="F161" s="207">
        <v>0.1</v>
      </c>
      <c r="G161" s="375">
        <v>32994</v>
      </c>
      <c r="H161" s="376"/>
      <c r="I161" s="208"/>
      <c r="J161" s="208"/>
      <c r="K161" s="208"/>
      <c r="L161" s="208"/>
      <c r="M161" s="208"/>
      <c r="N161" s="64">
        <f>IF(I$158="#GSRs",ROUND(('W9'!K164*I161)/3*'W9'!C$30,0),ROUND('R9'!I161/3*'W9'!K164,0))</f>
        <v>0</v>
      </c>
      <c r="O161" s="64">
        <f>IF(J$158="#GSRs",ROUND(('W9'!L164*J161)/3*'W9'!D$30,0),ROUND('R9'!J161/3*'W9'!L164,0))</f>
        <v>0</v>
      </c>
      <c r="P161" s="64">
        <f>IF(K$158="#GSRs",ROUND(('W9'!M164*K161)/3*'W9'!E$30,0),ROUND('R9'!K161/3*'W9'!M164,0))</f>
        <v>0</v>
      </c>
      <c r="Q161" s="64">
        <f>IF(L$158="#GSRs",ROUND(('W9'!N164*L161)/3*'W9'!F$30,0),ROUND('R9'!L161/3*'W9'!N164,0))</f>
        <v>0</v>
      </c>
      <c r="R161" s="64">
        <f>IF(M$158="#GSRs",ROUND(('W9'!O164*M161)/3*'W9'!G$30,0),ROUND('R9'!M161/3*'W9'!O164,0))</f>
        <v>0</v>
      </c>
      <c r="S161" s="64">
        <f>SUM(N161:R161)</f>
        <v>0</v>
      </c>
      <c r="T161" s="246"/>
      <c r="U161" s="246"/>
      <c r="V161" s="246"/>
      <c r="W161" s="246"/>
      <c r="X161" s="246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</row>
    <row r="162" spans="1:51" x14ac:dyDescent="0.2">
      <c r="A162" s="368"/>
      <c r="B162" s="377"/>
      <c r="C162" s="369"/>
      <c r="D162" s="368" t="s">
        <v>75</v>
      </c>
      <c r="E162" s="369"/>
      <c r="F162" s="207">
        <v>0.1</v>
      </c>
      <c r="G162" s="375">
        <v>17892</v>
      </c>
      <c r="H162" s="376"/>
      <c r="I162" s="208"/>
      <c r="J162" s="208"/>
      <c r="K162" s="208"/>
      <c r="L162" s="208"/>
      <c r="M162" s="208"/>
      <c r="N162" s="64">
        <f>IF(I$158="#GSRs",ROUND(('W9'!K165*I162)/3*'W9'!C$30,0),ROUND('R9'!I162/3*'W9'!K165,0))</f>
        <v>0</v>
      </c>
      <c r="O162" s="64">
        <f>IF(J$158="#GSRs",ROUND(('W9'!L165*J162)/3*'W9'!D$30,0),ROUND('R9'!J162/3*'W9'!L165,0))</f>
        <v>0</v>
      </c>
      <c r="P162" s="64">
        <f>IF(K$158="#GSRs",ROUND(('W9'!M165*K162)/3*'W9'!E$30,0),ROUND('R9'!K162/3*'W9'!M165,0))</f>
        <v>0</v>
      </c>
      <c r="Q162" s="64">
        <f>IF(L$158="#GSRs",ROUND(('W9'!N165*L162)/3*'W9'!F$30,0),ROUND('R9'!L162/3*'W9'!N165,0))</f>
        <v>0</v>
      </c>
      <c r="R162" s="64">
        <f>IF(M$158="#GSRs",ROUND(('W9'!O165*M162)/3*'W9'!G$30,0),ROUND('R9'!M162/3*'W9'!O165,0))</f>
        <v>0</v>
      </c>
      <c r="S162" s="64">
        <f t="shared" ref="S162:S170" si="27">SUM(N162:R162)</f>
        <v>0</v>
      </c>
      <c r="T162" s="246"/>
      <c r="U162" s="246"/>
      <c r="V162" s="246"/>
      <c r="W162" s="246"/>
      <c r="X162" s="246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</row>
    <row r="163" spans="1:51" x14ac:dyDescent="0.2">
      <c r="A163" s="368"/>
      <c r="B163" s="377"/>
      <c r="C163" s="369"/>
      <c r="D163" s="368" t="s">
        <v>75</v>
      </c>
      <c r="E163" s="369"/>
      <c r="F163" s="207">
        <v>0.1</v>
      </c>
      <c r="G163" s="375">
        <v>17892</v>
      </c>
      <c r="H163" s="376"/>
      <c r="I163" s="208"/>
      <c r="J163" s="208"/>
      <c r="K163" s="208"/>
      <c r="L163" s="208"/>
      <c r="M163" s="208"/>
      <c r="N163" s="64">
        <f>IF(I$158="#GSRs",ROUND(('W9'!K166*I163)/3*'W9'!C$30,0),ROUND('R9'!I163/3*'W9'!K166,0))</f>
        <v>0</v>
      </c>
      <c r="O163" s="64">
        <f>IF(J$158="#GSRs",ROUND(('W9'!L166*J163)/3*'W9'!D$30,0),ROUND('R9'!J163/3*'W9'!L166,0))</f>
        <v>0</v>
      </c>
      <c r="P163" s="64">
        <f>IF(K$158="#GSRs",ROUND(('W9'!M166*K163)/3*'W9'!E$30,0),ROUND('R9'!K163/3*'W9'!M166,0))</f>
        <v>0</v>
      </c>
      <c r="Q163" s="64">
        <f>IF(L$158="#GSRs",ROUND(('W9'!N166*L163)/3*'W9'!F$30,0),ROUND('R9'!L163/3*'W9'!N166,0))</f>
        <v>0</v>
      </c>
      <c r="R163" s="64">
        <f>IF(M$158="#GSRs",ROUND(('W9'!O166*M163)/3*'W9'!G$30,0),ROUND('R9'!M163/3*'W9'!O166,0))</f>
        <v>0</v>
      </c>
      <c r="S163" s="64">
        <f t="shared" si="27"/>
        <v>0</v>
      </c>
      <c r="T163" s="246"/>
      <c r="U163" s="246"/>
      <c r="V163" s="246"/>
      <c r="W163" s="246"/>
      <c r="X163" s="246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</row>
    <row r="164" spans="1:51" ht="11.45" hidden="1" customHeight="1" x14ac:dyDescent="0.2">
      <c r="A164" s="368"/>
      <c r="B164" s="377"/>
      <c r="C164" s="369"/>
      <c r="D164" s="368" t="s">
        <v>75</v>
      </c>
      <c r="E164" s="369"/>
      <c r="F164" s="207">
        <v>0.1</v>
      </c>
      <c r="G164" s="375">
        <v>17892</v>
      </c>
      <c r="H164" s="376"/>
      <c r="I164" s="208"/>
      <c r="J164" s="208"/>
      <c r="K164" s="208"/>
      <c r="L164" s="208"/>
      <c r="M164" s="208"/>
      <c r="N164" s="64">
        <f>IF(I$158="#GSRs",ROUND(('W9'!K167*I164)/3*'W9'!C$30,0),ROUND('R9'!I164/3*'W9'!K167,0))</f>
        <v>0</v>
      </c>
      <c r="O164" s="64">
        <f>IF(J$158="#GSRs",ROUND(('W9'!L167*J164)/3*'W9'!D$30,0),ROUND('R9'!J164/3*'W9'!L167,0))</f>
        <v>0</v>
      </c>
      <c r="P164" s="64">
        <f>IF(K$158="#GSRs",ROUND(('W9'!M167*K164)/3*'W9'!E$30,0),ROUND('R9'!K164/3*'W9'!M167,0))</f>
        <v>0</v>
      </c>
      <c r="Q164" s="64">
        <f>IF(L$158="#GSRs",ROUND(('W9'!N167*L164)/3*'W9'!F$30,0),ROUND('R9'!L164/3*'W9'!N167,0))</f>
        <v>0</v>
      </c>
      <c r="R164" s="64">
        <f>IF(M$158="#GSRs",ROUND(('W9'!O167*M164)/3*'W9'!G$30,0),ROUND('R9'!M164/3*'W9'!O167,0))</f>
        <v>0</v>
      </c>
      <c r="S164" s="64">
        <f t="shared" si="27"/>
        <v>0</v>
      </c>
      <c r="T164" s="246"/>
      <c r="U164" s="246"/>
      <c r="V164" s="246"/>
      <c r="W164" s="246"/>
      <c r="X164" s="246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</row>
    <row r="165" spans="1:51" ht="11.45" hidden="1" customHeight="1" x14ac:dyDescent="0.2">
      <c r="A165" s="368"/>
      <c r="B165" s="377"/>
      <c r="C165" s="369"/>
      <c r="D165" s="368" t="s">
        <v>75</v>
      </c>
      <c r="E165" s="369"/>
      <c r="F165" s="207">
        <v>0.1</v>
      </c>
      <c r="G165" s="375">
        <v>17892</v>
      </c>
      <c r="H165" s="376"/>
      <c r="I165" s="208"/>
      <c r="J165" s="208"/>
      <c r="K165" s="208"/>
      <c r="L165" s="208"/>
      <c r="M165" s="208"/>
      <c r="N165" s="64">
        <f>IF(I$158="#GSRs",ROUND(('W9'!K168*I165)/3*'W9'!C$30,0),ROUND('R9'!I165/3*'W9'!K168,0))</f>
        <v>0</v>
      </c>
      <c r="O165" s="64">
        <f>IF(J$158="#GSRs",ROUND(('W9'!L168*J165)/3*'W9'!D$30,0),ROUND('R9'!J165/3*'W9'!L168,0))</f>
        <v>0</v>
      </c>
      <c r="P165" s="64">
        <f>IF(K$158="#GSRs",ROUND(('W9'!M168*K165)/3*'W9'!E$30,0),ROUND('R9'!K165/3*'W9'!M168,0))</f>
        <v>0</v>
      </c>
      <c r="Q165" s="64">
        <f>IF(L$158="#GSRs",ROUND(('W9'!N168*L165)/3*'W9'!F$30,0),ROUND('R9'!L165/3*'W9'!N168,0))</f>
        <v>0</v>
      </c>
      <c r="R165" s="64">
        <f>IF(M$158="#GSRs",ROUND(('W9'!O168*M165)/3*'W9'!G$30,0),ROUND('R9'!M165/3*'W9'!O168,0))</f>
        <v>0</v>
      </c>
      <c r="S165" s="64">
        <f t="shared" si="27"/>
        <v>0</v>
      </c>
      <c r="T165" s="246"/>
      <c r="U165" s="246"/>
      <c r="V165" s="246"/>
      <c r="W165" s="246"/>
      <c r="X165" s="246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</row>
    <row r="166" spans="1:51" ht="10.9" hidden="1" customHeight="1" x14ac:dyDescent="0.2">
      <c r="A166" s="368"/>
      <c r="B166" s="377"/>
      <c r="C166" s="369"/>
      <c r="D166" s="368" t="s">
        <v>75</v>
      </c>
      <c r="E166" s="369"/>
      <c r="F166" s="207">
        <v>0.1</v>
      </c>
      <c r="G166" s="375">
        <v>17892</v>
      </c>
      <c r="H166" s="376"/>
      <c r="I166" s="208"/>
      <c r="J166" s="208"/>
      <c r="K166" s="208"/>
      <c r="L166" s="208"/>
      <c r="M166" s="208"/>
      <c r="N166" s="64">
        <f>IF(I$158="#GSRs",ROUND(('W9'!K169*I166)/3*'W9'!C$30,0),ROUND('R9'!I166/3*'W9'!K169,0))</f>
        <v>0</v>
      </c>
      <c r="O166" s="64">
        <f>IF(J$158="#GSRs",ROUND(('W9'!L169*J166)/3*'W9'!D$30,0),ROUND('R9'!J166/3*'W9'!L169,0))</f>
        <v>0</v>
      </c>
      <c r="P166" s="64">
        <f>IF(K$158="#GSRs",ROUND(('W9'!M169*K166)/3*'W9'!E$30,0),ROUND('R9'!K166/3*'W9'!M169,0))</f>
        <v>0</v>
      </c>
      <c r="Q166" s="64">
        <f>IF(L$158="#GSRs",ROUND(('W9'!N169*L166)/3*'W9'!F$30,0),ROUND('R9'!L166/3*'W9'!N169,0))</f>
        <v>0</v>
      </c>
      <c r="R166" s="64">
        <f>IF(M$158="#GSRs",ROUND(('W9'!O169*M166)/3*'W9'!G$30,0),ROUND('R9'!M166/3*'W9'!O169,0))</f>
        <v>0</v>
      </c>
      <c r="S166" s="64">
        <f t="shared" si="27"/>
        <v>0</v>
      </c>
      <c r="T166" s="246"/>
      <c r="U166" s="246"/>
      <c r="V166" s="246"/>
      <c r="W166" s="246"/>
      <c r="X166" s="246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</row>
    <row r="167" spans="1:51" ht="11.45" hidden="1" customHeight="1" x14ac:dyDescent="0.2">
      <c r="A167" s="368"/>
      <c r="B167" s="377"/>
      <c r="C167" s="369"/>
      <c r="D167" s="368" t="s">
        <v>75</v>
      </c>
      <c r="E167" s="369"/>
      <c r="F167" s="207">
        <v>0.1</v>
      </c>
      <c r="G167" s="375">
        <v>17892</v>
      </c>
      <c r="H167" s="376"/>
      <c r="I167" s="208"/>
      <c r="J167" s="208"/>
      <c r="K167" s="208"/>
      <c r="L167" s="208"/>
      <c r="M167" s="208"/>
      <c r="N167" s="64">
        <f>IF(I$158="#GSRs",ROUND(('W9'!K170*I167)/3*'W9'!C$30,0),ROUND('R9'!I167/3*'W9'!K170,0))</f>
        <v>0</v>
      </c>
      <c r="O167" s="64">
        <f>IF(J$158="#GSRs",ROUND(('W9'!L170*J167)/3*'W9'!D$30,0),ROUND('R9'!J167/3*'W9'!L170,0))</f>
        <v>0</v>
      </c>
      <c r="P167" s="64">
        <f>IF(K$158="#GSRs",ROUND(('W9'!M170*K167)/3*'W9'!E$30,0),ROUND('R9'!K167/3*'W9'!M170,0))</f>
        <v>0</v>
      </c>
      <c r="Q167" s="64">
        <f>IF(L$158="#GSRs",ROUND(('W9'!N170*L167)/3*'W9'!F$30,0),ROUND('R9'!L167/3*'W9'!N170,0))</f>
        <v>0</v>
      </c>
      <c r="R167" s="64">
        <f>IF(M$158="#GSRs",ROUND(('W9'!O170*M167)/3*'W9'!G$30,0),ROUND('R9'!M167/3*'W9'!O170,0))</f>
        <v>0</v>
      </c>
      <c r="S167" s="64">
        <f t="shared" si="27"/>
        <v>0</v>
      </c>
      <c r="T167" s="246"/>
      <c r="U167" s="246"/>
      <c r="V167" s="246"/>
      <c r="W167" s="246"/>
      <c r="X167" s="246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</row>
    <row r="168" spans="1:51" ht="11.45" hidden="1" customHeight="1" x14ac:dyDescent="0.2">
      <c r="A168" s="368"/>
      <c r="B168" s="377"/>
      <c r="C168" s="369"/>
      <c r="D168" s="368" t="s">
        <v>75</v>
      </c>
      <c r="E168" s="369"/>
      <c r="F168" s="207">
        <v>0.1</v>
      </c>
      <c r="G168" s="375">
        <v>17892</v>
      </c>
      <c r="H168" s="376"/>
      <c r="I168" s="208"/>
      <c r="J168" s="208"/>
      <c r="K168" s="208"/>
      <c r="L168" s="208"/>
      <c r="M168" s="208"/>
      <c r="N168" s="64">
        <f>IF(I$158="#GSRs",ROUND(('W9'!K171*I168)/3*'W9'!C$30,0),ROUND('R9'!I168/3*'W9'!K171,0))</f>
        <v>0</v>
      </c>
      <c r="O168" s="64">
        <f>IF(J$158="#GSRs",ROUND(('W9'!L171*J168)/3*'W9'!D$30,0),ROUND('R9'!J168/3*'W9'!L171,0))</f>
        <v>0</v>
      </c>
      <c r="P168" s="64">
        <f>IF(K$158="#GSRs",ROUND(('W9'!M171*K168)/3*'W9'!E$30,0),ROUND('R9'!K168/3*'W9'!M171,0))</f>
        <v>0</v>
      </c>
      <c r="Q168" s="64">
        <f>IF(L$158="#GSRs",ROUND(('W9'!N171*L168)/3*'W9'!F$30,0),ROUND('R9'!L168/3*'W9'!N171,0))</f>
        <v>0</v>
      </c>
      <c r="R168" s="64">
        <f>IF(M$158="#GSRs",ROUND(('W9'!O171*M168)/3*'W9'!G$30,0),ROUND('R9'!M168/3*'W9'!O171,0))</f>
        <v>0</v>
      </c>
      <c r="S168" s="64">
        <f t="shared" si="27"/>
        <v>0</v>
      </c>
      <c r="T168" s="246"/>
      <c r="U168" s="246"/>
      <c r="V168" s="246"/>
      <c r="W168" s="246"/>
      <c r="X168" s="246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</row>
    <row r="169" spans="1:51" ht="11.45" hidden="1" customHeight="1" x14ac:dyDescent="0.2">
      <c r="A169" s="368"/>
      <c r="B169" s="377"/>
      <c r="C169" s="369"/>
      <c r="D169" s="368" t="s">
        <v>75</v>
      </c>
      <c r="E169" s="369"/>
      <c r="F169" s="207">
        <v>0.1</v>
      </c>
      <c r="G169" s="375">
        <v>17892</v>
      </c>
      <c r="H169" s="376"/>
      <c r="I169" s="208"/>
      <c r="J169" s="208"/>
      <c r="K169" s="208"/>
      <c r="L169" s="208"/>
      <c r="M169" s="208"/>
      <c r="N169" s="64">
        <f>IF(I$158="#GSRs",ROUND(('W9'!K172*I169)/3*'W9'!C$30,0),ROUND('R9'!I169/3*'W9'!K172,0))</f>
        <v>0</v>
      </c>
      <c r="O169" s="64">
        <f>IF(J$158="#GSRs",ROUND(('W9'!L172*J169)/3*'W9'!D$30,0),ROUND('R9'!J169/3*'W9'!L172,0))</f>
        <v>0</v>
      </c>
      <c r="P169" s="64">
        <f>IF(K$158="#GSRs",ROUND(('W9'!M172*K169)/3*'W9'!E$30,0),ROUND('R9'!K169/3*'W9'!M172,0))</f>
        <v>0</v>
      </c>
      <c r="Q169" s="64">
        <f>IF(L$158="#GSRs",ROUND(('W9'!N172*L169)/3*'W9'!F$30,0),ROUND('R9'!L169/3*'W9'!N172,0))</f>
        <v>0</v>
      </c>
      <c r="R169" s="64">
        <f>IF(M$158="#GSRs",ROUND(('W9'!O172*M169)/3*'W9'!G$30,0),ROUND('R9'!M169/3*'W9'!O172,0))</f>
        <v>0</v>
      </c>
      <c r="S169" s="64">
        <f t="shared" si="27"/>
        <v>0</v>
      </c>
      <c r="T169" s="246"/>
      <c r="U169" s="246"/>
      <c r="V169" s="246"/>
      <c r="W169" s="246"/>
      <c r="X169" s="246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</row>
    <row r="170" spans="1:51" ht="11.45" hidden="1" customHeight="1" x14ac:dyDescent="0.2">
      <c r="A170" s="368"/>
      <c r="B170" s="377"/>
      <c r="C170" s="369"/>
      <c r="D170" s="368" t="s">
        <v>75</v>
      </c>
      <c r="E170" s="369"/>
      <c r="F170" s="207">
        <v>0.1</v>
      </c>
      <c r="G170" s="375">
        <v>17892</v>
      </c>
      <c r="H170" s="376"/>
      <c r="I170" s="208"/>
      <c r="J170" s="208"/>
      <c r="K170" s="208"/>
      <c r="L170" s="208"/>
      <c r="M170" s="208"/>
      <c r="N170" s="64">
        <f>IF(I$158="#GSRs",ROUND(('W9'!K173*I170)/3*'W9'!C$30,0),ROUND('R9'!I170/3*'W9'!K173,0))</f>
        <v>0</v>
      </c>
      <c r="O170" s="64">
        <f>IF(J$158="#GSRs",ROUND(('W9'!L173*J170)/3*'W9'!D$30,0),ROUND('R9'!J170/3*'W9'!L173,0))</f>
        <v>0</v>
      </c>
      <c r="P170" s="64">
        <f>IF(K$158="#GSRs",ROUND(('W9'!M173*K170)/3*'W9'!E$30,0),ROUND('R9'!K170/3*'W9'!M173,0))</f>
        <v>0</v>
      </c>
      <c r="Q170" s="64">
        <f>IF(L$158="#GSRs",ROUND(('W9'!N173*L170)/3*'W9'!F$30,0),ROUND('R9'!L170/3*'W9'!N173,0))</f>
        <v>0</v>
      </c>
      <c r="R170" s="64">
        <f>IF(M$158="#GSRs",ROUND(('W9'!O173*M170)/3*'W9'!G$30,0),ROUND('R9'!M170/3*'W9'!O173,0))</f>
        <v>0</v>
      </c>
      <c r="S170" s="64">
        <f t="shared" si="27"/>
        <v>0</v>
      </c>
      <c r="T170" s="246"/>
      <c r="U170" s="246"/>
      <c r="V170" s="246"/>
      <c r="W170" s="246"/>
      <c r="X170" s="246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</row>
    <row r="171" spans="1:51" x14ac:dyDescent="0.2">
      <c r="A171" s="94" t="s">
        <v>216</v>
      </c>
      <c r="B171" s="55"/>
      <c r="C171" s="55"/>
      <c r="D171" s="118"/>
      <c r="E171" s="118"/>
      <c r="F171" s="55"/>
      <c r="G171" s="407" t="s">
        <v>117</v>
      </c>
      <c r="H171" s="408"/>
      <c r="I171" s="404" t="s">
        <v>222</v>
      </c>
      <c r="J171" s="405"/>
      <c r="K171" s="405"/>
      <c r="L171" s="405"/>
      <c r="M171" s="406"/>
      <c r="N171" s="56"/>
      <c r="O171" s="56"/>
      <c r="P171" s="56"/>
      <c r="Q171" s="56"/>
      <c r="R171" s="56"/>
      <c r="S171" s="56"/>
      <c r="T171" s="246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</row>
    <row r="172" spans="1:51" x14ac:dyDescent="0.2">
      <c r="A172" s="231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4"/>
      <c r="O172" s="204"/>
      <c r="P172" s="204"/>
      <c r="Q172" s="204"/>
      <c r="R172" s="204"/>
      <c r="S172" s="90">
        <f>SUM(N172:R172)</f>
        <v>0</v>
      </c>
      <c r="T172" s="246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</row>
    <row r="173" spans="1:51" x14ac:dyDescent="0.2">
      <c r="A173" s="231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4"/>
      <c r="P173" s="204"/>
      <c r="Q173" s="204"/>
      <c r="R173" s="204"/>
      <c r="S173" s="90">
        <f>SUM(N173:R173)</f>
        <v>0</v>
      </c>
      <c r="T173" s="246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</row>
    <row r="174" spans="1:51" x14ac:dyDescent="0.2">
      <c r="A174" s="231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4"/>
      <c r="O174" s="204"/>
      <c r="P174" s="204"/>
      <c r="Q174" s="204"/>
      <c r="R174" s="204"/>
      <c r="S174" s="90">
        <f>SUM(N174:R174)</f>
        <v>0</v>
      </c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</row>
    <row r="175" spans="1:51" hidden="1" x14ac:dyDescent="0.2">
      <c r="A175" s="231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4"/>
      <c r="O175" s="204"/>
      <c r="P175" s="204"/>
      <c r="Q175" s="204"/>
      <c r="R175" s="204"/>
      <c r="S175" s="90">
        <f>SUM(N175:R175)</f>
        <v>0</v>
      </c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</row>
    <row r="176" spans="1:51" hidden="1" x14ac:dyDescent="0.2">
      <c r="A176" s="231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4"/>
      <c r="O176" s="204"/>
      <c r="P176" s="204"/>
      <c r="Q176" s="204"/>
      <c r="R176" s="204"/>
      <c r="S176" s="90">
        <f>SUM(N176:R176)</f>
        <v>0</v>
      </c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</row>
    <row r="177" spans="1:51" x14ac:dyDescent="0.2">
      <c r="A177" s="59" t="s">
        <v>79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2"/>
      <c r="N177" s="213"/>
      <c r="O177" s="213"/>
      <c r="P177" s="213"/>
      <c r="Q177" s="213"/>
      <c r="R177" s="213"/>
      <c r="S177" s="88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</row>
    <row r="178" spans="1:51" x14ac:dyDescent="0.2">
      <c r="A178" s="231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14"/>
      <c r="O178" s="214"/>
      <c r="P178" s="214"/>
      <c r="Q178" s="214"/>
      <c r="R178" s="214"/>
      <c r="S178" s="90">
        <f t="shared" ref="S178:S185" si="28">SUM(N178:R178)</f>
        <v>0</v>
      </c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</row>
    <row r="179" spans="1:51" x14ac:dyDescent="0.2">
      <c r="A179" s="231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14"/>
      <c r="O179" s="214"/>
      <c r="P179" s="214"/>
      <c r="Q179" s="214"/>
      <c r="R179" s="214"/>
      <c r="S179" s="90">
        <f t="shared" si="28"/>
        <v>0</v>
      </c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</row>
    <row r="180" spans="1:51" x14ac:dyDescent="0.2">
      <c r="A180" s="231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14"/>
      <c r="O180" s="214"/>
      <c r="P180" s="214"/>
      <c r="Q180" s="214"/>
      <c r="R180" s="214"/>
      <c r="S180" s="90">
        <f t="shared" si="28"/>
        <v>0</v>
      </c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</row>
    <row r="181" spans="1:51" x14ac:dyDescent="0.2">
      <c r="A181" s="231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14"/>
      <c r="O181" s="214"/>
      <c r="P181" s="214"/>
      <c r="Q181" s="214"/>
      <c r="R181" s="214"/>
      <c r="S181" s="90">
        <f t="shared" si="28"/>
        <v>0</v>
      </c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</row>
    <row r="182" spans="1:51" hidden="1" x14ac:dyDescent="0.2">
      <c r="A182" s="231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14"/>
      <c r="O182" s="214"/>
      <c r="P182" s="214"/>
      <c r="Q182" s="214"/>
      <c r="R182" s="214"/>
      <c r="S182" s="90">
        <f t="shared" si="28"/>
        <v>0</v>
      </c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</row>
    <row r="183" spans="1:51" hidden="1" x14ac:dyDescent="0.2">
      <c r="A183" s="231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14"/>
      <c r="O183" s="214"/>
      <c r="P183" s="214"/>
      <c r="Q183" s="214"/>
      <c r="R183" s="214"/>
      <c r="S183" s="90">
        <f t="shared" si="28"/>
        <v>0</v>
      </c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</row>
    <row r="184" spans="1:51" hidden="1" x14ac:dyDescent="0.2">
      <c r="A184" s="231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14"/>
      <c r="O184" s="214"/>
      <c r="P184" s="214"/>
      <c r="Q184" s="214"/>
      <c r="R184" s="214"/>
      <c r="S184" s="90">
        <f t="shared" si="28"/>
        <v>0</v>
      </c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</row>
    <row r="185" spans="1:51" hidden="1" x14ac:dyDescent="0.2">
      <c r="A185" s="231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14"/>
      <c r="O185" s="214"/>
      <c r="P185" s="214"/>
      <c r="Q185" s="214"/>
      <c r="R185" s="214"/>
      <c r="S185" s="90">
        <f t="shared" si="28"/>
        <v>0</v>
      </c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</row>
    <row r="186" spans="1:51" x14ac:dyDescent="0.2">
      <c r="A186" s="232" t="s">
        <v>80</v>
      </c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2"/>
      <c r="N186" s="213"/>
      <c r="O186" s="213"/>
      <c r="P186" s="213"/>
      <c r="Q186" s="213"/>
      <c r="R186" s="213"/>
      <c r="S186" s="88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</row>
    <row r="187" spans="1:51" x14ac:dyDescent="0.2">
      <c r="A187" s="231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4"/>
      <c r="O187" s="204"/>
      <c r="P187" s="204"/>
      <c r="Q187" s="204"/>
      <c r="R187" s="204"/>
      <c r="S187" s="90">
        <f t="shared" ref="S187:S205" si="29">SUM(N187:R187)</f>
        <v>0</v>
      </c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</row>
    <row r="188" spans="1:51" x14ac:dyDescent="0.2">
      <c r="A188" s="231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4"/>
      <c r="O188" s="204"/>
      <c r="P188" s="204"/>
      <c r="Q188" s="204"/>
      <c r="R188" s="204"/>
      <c r="S188" s="90">
        <f t="shared" si="29"/>
        <v>0</v>
      </c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</row>
    <row r="189" spans="1:51" x14ac:dyDescent="0.2">
      <c r="A189" s="231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4"/>
      <c r="P189" s="204"/>
      <c r="Q189" s="204"/>
      <c r="R189" s="204"/>
      <c r="S189" s="90">
        <f t="shared" si="29"/>
        <v>0</v>
      </c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</row>
    <row r="190" spans="1:51" x14ac:dyDescent="0.2">
      <c r="A190" s="231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4"/>
      <c r="O190" s="204"/>
      <c r="P190" s="204"/>
      <c r="Q190" s="204"/>
      <c r="R190" s="204"/>
      <c r="S190" s="90">
        <f t="shared" si="29"/>
        <v>0</v>
      </c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</row>
    <row r="191" spans="1:51" x14ac:dyDescent="0.2">
      <c r="A191" s="231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4"/>
      <c r="O191" s="204"/>
      <c r="P191" s="204"/>
      <c r="Q191" s="204"/>
      <c r="R191" s="204"/>
      <c r="S191" s="90">
        <f t="shared" si="29"/>
        <v>0</v>
      </c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</row>
    <row r="192" spans="1:51" x14ac:dyDescent="0.2">
      <c r="A192" s="231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4"/>
      <c r="O192" s="204"/>
      <c r="P192" s="204"/>
      <c r="Q192" s="204"/>
      <c r="R192" s="204"/>
      <c r="S192" s="90">
        <f t="shared" si="29"/>
        <v>0</v>
      </c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</row>
    <row r="193" spans="1:51" hidden="1" x14ac:dyDescent="0.2">
      <c r="A193" s="231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4"/>
      <c r="O193" s="204"/>
      <c r="P193" s="204"/>
      <c r="Q193" s="204"/>
      <c r="R193" s="204"/>
      <c r="S193" s="90">
        <f t="shared" si="29"/>
        <v>0</v>
      </c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</row>
    <row r="194" spans="1:51" hidden="1" x14ac:dyDescent="0.2">
      <c r="A194" s="231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4"/>
      <c r="O194" s="204"/>
      <c r="P194" s="204"/>
      <c r="Q194" s="204"/>
      <c r="R194" s="204"/>
      <c r="S194" s="90">
        <f t="shared" si="29"/>
        <v>0</v>
      </c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</row>
    <row r="195" spans="1:51" hidden="1" x14ac:dyDescent="0.2">
      <c r="A195" s="231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4"/>
      <c r="O195" s="204"/>
      <c r="P195" s="204"/>
      <c r="Q195" s="204"/>
      <c r="R195" s="204"/>
      <c r="S195" s="90">
        <f t="shared" si="29"/>
        <v>0</v>
      </c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</row>
    <row r="196" spans="1:51" hidden="1" x14ac:dyDescent="0.2">
      <c r="A196" s="23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4"/>
      <c r="P196" s="204"/>
      <c r="Q196" s="204"/>
      <c r="R196" s="204"/>
      <c r="S196" s="90">
        <f t="shared" si="29"/>
        <v>0</v>
      </c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</row>
    <row r="197" spans="1:51" hidden="1" x14ac:dyDescent="0.2">
      <c r="A197" s="231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4"/>
      <c r="O197" s="204"/>
      <c r="P197" s="204"/>
      <c r="Q197" s="204"/>
      <c r="R197" s="204"/>
      <c r="S197" s="90">
        <f t="shared" si="29"/>
        <v>0</v>
      </c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</row>
    <row r="198" spans="1:51" hidden="1" x14ac:dyDescent="0.2">
      <c r="A198" s="231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4"/>
      <c r="O198" s="204"/>
      <c r="P198" s="204"/>
      <c r="Q198" s="204"/>
      <c r="R198" s="204"/>
      <c r="S198" s="90">
        <f t="shared" si="29"/>
        <v>0</v>
      </c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</row>
    <row r="199" spans="1:51" hidden="1" x14ac:dyDescent="0.2">
      <c r="A199" s="231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4"/>
      <c r="O199" s="204"/>
      <c r="P199" s="204"/>
      <c r="Q199" s="204"/>
      <c r="R199" s="204"/>
      <c r="S199" s="90">
        <f t="shared" si="29"/>
        <v>0</v>
      </c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</row>
    <row r="200" spans="1:51" hidden="1" x14ac:dyDescent="0.2">
      <c r="A200" s="231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4"/>
      <c r="O200" s="204"/>
      <c r="P200" s="204"/>
      <c r="Q200" s="204"/>
      <c r="R200" s="204"/>
      <c r="S200" s="90">
        <f t="shared" si="29"/>
        <v>0</v>
      </c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</row>
    <row r="201" spans="1:51" hidden="1" x14ac:dyDescent="0.2">
      <c r="A201" s="231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4"/>
      <c r="O201" s="204"/>
      <c r="P201" s="204"/>
      <c r="Q201" s="204"/>
      <c r="R201" s="204"/>
      <c r="S201" s="90">
        <f t="shared" si="29"/>
        <v>0</v>
      </c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</row>
    <row r="202" spans="1:51" hidden="1" x14ac:dyDescent="0.2">
      <c r="A202" s="231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4"/>
      <c r="O202" s="204"/>
      <c r="P202" s="204"/>
      <c r="Q202" s="204"/>
      <c r="R202" s="204"/>
      <c r="S202" s="90">
        <f t="shared" si="29"/>
        <v>0</v>
      </c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</row>
    <row r="203" spans="1:51" hidden="1" x14ac:dyDescent="0.2">
      <c r="A203" s="231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4"/>
      <c r="P203" s="204"/>
      <c r="Q203" s="204"/>
      <c r="R203" s="204"/>
      <c r="S203" s="90">
        <f t="shared" si="29"/>
        <v>0</v>
      </c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</row>
    <row r="204" spans="1:51" hidden="1" x14ac:dyDescent="0.2">
      <c r="A204" s="231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04"/>
      <c r="O204" s="204"/>
      <c r="P204" s="204"/>
      <c r="Q204" s="204"/>
      <c r="R204" s="204"/>
      <c r="S204" s="90">
        <f t="shared" si="29"/>
        <v>0</v>
      </c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</row>
    <row r="205" spans="1:51" x14ac:dyDescent="0.2">
      <c r="A205" s="160" t="s">
        <v>81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2"/>
      <c r="N205" s="147">
        <f>SUM(N159:N204)</f>
        <v>0</v>
      </c>
      <c r="O205" s="147">
        <f>SUM(O159:O204)</f>
        <v>0</v>
      </c>
      <c r="P205" s="147">
        <f>SUM(P159:P204)</f>
        <v>0</v>
      </c>
      <c r="Q205" s="147">
        <f>SUM(Q159:Q204)</f>
        <v>0</v>
      </c>
      <c r="R205" s="147">
        <f>SUM(R159:R204)</f>
        <v>0</v>
      </c>
      <c r="S205" s="148">
        <f t="shared" si="29"/>
        <v>0</v>
      </c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</row>
    <row r="206" spans="1:51" ht="19.149999999999999" customHeight="1" x14ac:dyDescent="0.2">
      <c r="A206" s="439" t="s">
        <v>185</v>
      </c>
      <c r="B206" s="440"/>
      <c r="C206" s="440"/>
      <c r="D206" s="440"/>
      <c r="E206" s="440"/>
      <c r="F206" s="440"/>
      <c r="G206" s="440"/>
      <c r="H206" s="440"/>
      <c r="I206" s="440"/>
      <c r="J206" s="440"/>
      <c r="K206" s="440"/>
      <c r="L206" s="440"/>
      <c r="M206" s="441"/>
      <c r="N206" s="136">
        <f ca="1">N207-IF($K127="IC of Above",N127,0)-IF($K128="IC of Above",N128,0)-IF($K129="IC of Above",N129,0)-IF($K130="IC of Above",N130,0)-IF($K131="IC of Above",N131,0)-IF($K132="IC of Above",N132,0)-IF($K133="IC of Above",N133,0)-IF($K134="IC of Above",N134,0)-IF($K135="IC of Above",N135,0)-IF($K136="IC of Above",N136,0)-IF($K137="IC of Above",N137,0)-IF($K138="IC of Above",N138,0)-IF($K139="IC of Above",N139,0)-IF($K140="IC of Above",N140,0)</f>
        <v>0</v>
      </c>
      <c r="O206" s="136">
        <f ca="1">O207-IF($K127="IC of Above",O127,0)-IF($K128="IC of Above",O128,0)-IF($K129="IC of Above",O129,0)-IF($K130="IC of Above",O130,0)-IF($K131="IC of Above",O131,0)-IF($K132="IC of Above",O132,0)-IF($K133="IC of Above",O133,0)-IF($K134="IC of Above",O134,0)-IF($K135="IC of Above",O135,0)-IF($K136="IC of Above",O136,0)-IF($K137="IC of Above",O137,0)-IF($K138="IC of Above",O138,0)-IF($K139="IC of Above",O139,0)-IF($K140="IC of Above",O140,0)</f>
        <v>0</v>
      </c>
      <c r="P206" s="136">
        <f ca="1">P207-IF($K127="IC of Above",P127,0)-IF($K128="IC of Above",P128,0)-IF($K129="IC of Above",P129,0)-IF($K130="IC of Above",P130,0)-IF($K131="IC of Above",P131,0)-IF($K132="IC of Above",P132,0)-IF($K133="IC of Above",P133,0)-IF($K134="IC of Above",P134,0)-IF($K135="IC of Above",P135,0)-IF($K136="IC of Above",P136,0)-IF($K137="IC of Above",P137,0)-IF($K138="IC of Above",P138,0)-IF($K139="IC of Above",P139,0)-IF($K140="IC of Above",P140,0)</f>
        <v>0</v>
      </c>
      <c r="Q206" s="136">
        <f ca="1">Q207-IF($K127="IC of Above",Q127,0)-IF($K128="IC of Above",Q128,0)-IF($K129="IC of Above",Q129,0)-IF($K130="IC of Above",Q130,0)-IF($K131="IC of Above",Q131,0)-IF($K132="IC of Above",Q132,0)-IF($K133="IC of Above",Q133,0)-IF($K134="IC of Above",Q134,0)-IF($K135="IC of Above",Q135,0)-IF($K136="IC of Above",Q136,0)-IF($K137="IC of Above",Q137,0)-IF($K138="IC of Above",Q138,0)-IF($K139="IC of Above",Q139,0)-IF($K140="IC of Above",Q140,0)</f>
        <v>0</v>
      </c>
      <c r="R206" s="136">
        <f ca="1">R207-IF($K127="IC of Above",R127,0)-IF($K128="IC of Above",R128,0)-IF($K129="IC of Above",R129,0)-IF($K130="IC of Above",R130,0)-IF($K131="IC of Above",R131,0)-IF($K132="IC of Above",R132,0)-IF($K133="IC of Above",R133,0)-IF($K134="IC of Above",R134,0)-IF($K135="IC of Above",R135,0)-IF($K136="IC of Above",R136,0)-IF($K137="IC of Above",R137,0)-IF($K138="IC of Above",R138,0)-IF($K139="IC of Above",R139,0)-IF($K140="IC of Above",R140,0)</f>
        <v>0</v>
      </c>
      <c r="S206" s="136">
        <f ca="1">SUM(N206:R206)</f>
        <v>0</v>
      </c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</row>
    <row r="207" spans="1:51" x14ac:dyDescent="0.2">
      <c r="A207" s="160" t="s">
        <v>82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2"/>
      <c r="N207" s="234">
        <f ca="1">N61+N73+N86+N123+N141+N153+N205</f>
        <v>0</v>
      </c>
      <c r="O207" s="234">
        <f ca="1">O61+O73+O86+O123+O141+O153+O205</f>
        <v>0</v>
      </c>
      <c r="P207" s="234">
        <f ca="1">P61+P73+P86+P123+P141+P153+P205</f>
        <v>0</v>
      </c>
      <c r="Q207" s="234">
        <f ca="1">Q61+Q73+Q86+Q123+Q141+Q153+Q205</f>
        <v>0</v>
      </c>
      <c r="R207" s="234">
        <f ca="1">R61+R73+R86+R123+R141+R153+R205</f>
        <v>0</v>
      </c>
      <c r="S207" s="234">
        <f ca="1">SUM(N207:R207)</f>
        <v>0</v>
      </c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</row>
    <row r="208" spans="1:51" x14ac:dyDescent="0.2">
      <c r="A208" s="63" t="s">
        <v>83</v>
      </c>
      <c r="B208" s="203"/>
      <c r="C208" s="203"/>
      <c r="D208" s="427" t="s">
        <v>86</v>
      </c>
      <c r="E208" s="428"/>
      <c r="F208" s="368" t="s">
        <v>88</v>
      </c>
      <c r="G208" s="377"/>
      <c r="H208" s="377"/>
      <c r="I208" s="377"/>
      <c r="J208" s="377"/>
      <c r="K208" s="377"/>
      <c r="L208" s="377"/>
      <c r="M208" s="369"/>
      <c r="N208" s="235">
        <f ca="1">IF($H$210&lt;&gt;"Custom",(IF(F208&lt;&gt;'W9'!A91,'W9'!C157,IF('R9'!H210="MTDC",'W9'!C157,IF('R9'!H210="TDC",'W9'!C158,IF('R9'!H210="TC",'W9'!C159))))),0)</f>
        <v>0</v>
      </c>
      <c r="O208" s="235">
        <f ca="1">IF($H$210&lt;&gt;"Custom",IF($F$208&lt;&gt;'W9'!$A$91,'W9'!D157,IF('R9'!$H$210="MTDC",'W9'!D157,IF('R9'!$H$210="TDC",'W9'!D158,IF('R9'!$H$210="TC",'W9'!D159)))),0)</f>
        <v>0</v>
      </c>
      <c r="P208" s="235">
        <f ca="1">IF($H$210&lt;&gt;"Custom",IF($F$208&lt;&gt;'W9'!$A$91,'W9'!E157,IF('R9'!$H$210="MTDC",'W9'!E157,IF('R9'!$H$210="TDC",'W9'!E158,IF('R9'!$H$210="TC",'W9'!E159)))),0)</f>
        <v>0</v>
      </c>
      <c r="Q208" s="235">
        <f ca="1">IF($H$210&lt;&gt;"Custom",IF($F$208&lt;&gt;'W9'!$A$91,'W9'!F157,IF('R9'!$H$210="MTDC",'W9'!F157,IF('R9'!$H$210="TDC",'W9'!F158,IF('R9'!$H$210="TC",'W9'!F159)))),0)</f>
        <v>0</v>
      </c>
      <c r="R208" s="235">
        <f ca="1">IF($H$210&lt;&gt;"Custom",IF($F$208&lt;&gt;'W9'!$A$91,'W9'!G157,IF('R9'!$H$210="MTDC",'W9'!G157,IF('R9'!$H$210="TDC",'W9'!G158,IF('R9'!$H$210="TC",'W9'!G159)))),0)</f>
        <v>0</v>
      </c>
      <c r="S208" s="236">
        <f ca="1">SUM(N208:R208)</f>
        <v>0</v>
      </c>
      <c r="T208" s="250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</row>
    <row r="209" spans="1:51" hidden="1" x14ac:dyDescent="0.2">
      <c r="A209" s="241" t="s">
        <v>101</v>
      </c>
      <c r="B209" s="237"/>
      <c r="C209" s="237"/>
      <c r="D209" s="238"/>
      <c r="E209" s="423" t="s">
        <v>102</v>
      </c>
      <c r="F209" s="424"/>
      <c r="G209" s="424"/>
      <c r="H209" s="424"/>
      <c r="I209" s="424"/>
      <c r="J209" s="424"/>
      <c r="K209" s="424"/>
      <c r="L209" s="424"/>
      <c r="M209" s="425"/>
      <c r="N209" s="243"/>
      <c r="O209" s="243"/>
      <c r="P209" s="243"/>
      <c r="Q209" s="243"/>
      <c r="R209" s="243"/>
      <c r="S209" s="87">
        <f>SUM(N209:R209)</f>
        <v>0</v>
      </c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</row>
    <row r="210" spans="1:51" x14ac:dyDescent="0.2">
      <c r="A210" s="242" t="s">
        <v>84</v>
      </c>
      <c r="B210" s="239"/>
      <c r="C210" s="240"/>
      <c r="D210" s="240"/>
      <c r="E210" s="426" t="s">
        <v>97</v>
      </c>
      <c r="F210" s="427"/>
      <c r="G210" s="428"/>
      <c r="H210" s="429" t="s">
        <v>116</v>
      </c>
      <c r="I210" s="430"/>
      <c r="J210" s="426" t="s">
        <v>100</v>
      </c>
      <c r="K210" s="427"/>
      <c r="L210" s="431">
        <v>0.2</v>
      </c>
      <c r="M210" s="432"/>
      <c r="N210" s="65">
        <f ca="1">IF(N207=0,0,IF($H$210="Custom",(ROUND(N209*$L$210,0)),(IF($F$208='W9'!$A$91,ROUND('R9'!N208*$L$210,0),(ROUND((N208-'W9'!C160)/'W9'!C5*'W9'!C9*'W9'!B97+(N208-'W9'!C160)/'W9'!C5*'W9'!C10*'W9'!C97,0)+(IF($I$171="Federal",ROUND('W9'!C160*'W9'!B92,0),(ROUND('W9'!C160*'W9'!B93,0)))))))))</f>
        <v>0</v>
      </c>
      <c r="O210" s="65">
        <f ca="1">IF(O207=0,0,IF($H$210="Custom",(ROUND(O209*$L$210,0)),(IF($F$208='W9'!$A$91,ROUND('R9'!O208*$L$210,0),(ROUND((O208-'W9'!D160)/'W9'!D5*'W9'!D9*'W9'!D97+(O208-'W9'!D160)/'W9'!D5*'W9'!D10*'W9'!E97,0)+(IF($I$171="Federal",ROUND('W9'!D160*'W9'!B92,0),(ROUND('W9'!D160*'W9'!B93,0)))))))))</f>
        <v>0</v>
      </c>
      <c r="P210" s="65">
        <f ca="1">IF(P207=0,0,IF($H$210="Custom",(ROUND(P209*$L$210,0)),(IF($F$208='W9'!$A$91,ROUND('R9'!P208*$L$210,0),(ROUND((P208-'W9'!E160)/'W9'!E5*'W9'!E9*'W9'!F97+(P208-'W9'!E160)/'W9'!E5*'W9'!E10*'W9'!G97,0)+(IF($I$171="Federal",ROUND('W9'!E160*'W9'!B92,0),(ROUND('W9'!E160*'W9'!B93,0)))))))))</f>
        <v>0</v>
      </c>
      <c r="Q210" s="65">
        <f ca="1">IF(Q207=0,0,IF($H$210="Custom",(ROUND(Q209*$L$210,0)),(IF($F$208='W9'!$A$91,ROUND('R9'!Q208*$L$210,0),(ROUND((Q208-'W9'!F160)/'W9'!F5*'W9'!F9*'W9'!H97+(Q208-'W9'!F160)/'W9'!F5*'W9'!F10*'W9'!I97,0)+(IF($I$171="Federal",ROUND('W9'!F160*'W9'!B92,0),(ROUND('W9'!F160*'W9'!B93,0)))))))))</f>
        <v>0</v>
      </c>
      <c r="R210" s="65">
        <f ca="1">IF(R207=0,0,IF($H$210="Custom",(ROUND(R209*$L$210,0)),(IF($F$208='W9'!$A$91,ROUND('R9'!R208*$L$210,0),(ROUND((R208-'W9'!G160)/'W9'!G5*'W9'!G9*'W9'!J97+(R208-'W9'!G160)/'W9'!G5*'W9'!G10*'W9'!K97,0)+(IF($I$171="Federal",ROUND('W9'!G160*'W9'!B92,0),(ROUND('W9'!G160*'W9'!B93,0)))))))))</f>
        <v>0</v>
      </c>
      <c r="S210" s="102">
        <f ca="1">SUM(N210:R210)</f>
        <v>0</v>
      </c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</row>
    <row r="211" spans="1:51" x14ac:dyDescent="0.2">
      <c r="A211" s="95" t="s">
        <v>85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66"/>
      <c r="M211" s="67"/>
      <c r="N211" s="68">
        <f ca="1">N207+N210</f>
        <v>0</v>
      </c>
      <c r="O211" s="68">
        <f t="shared" ref="O211:R211" ca="1" si="30">O207+O210</f>
        <v>0</v>
      </c>
      <c r="P211" s="68">
        <f t="shared" ca="1" si="30"/>
        <v>0</v>
      </c>
      <c r="Q211" s="68">
        <f t="shared" ca="1" si="30"/>
        <v>0</v>
      </c>
      <c r="R211" s="68">
        <f t="shared" ca="1" si="30"/>
        <v>0</v>
      </c>
      <c r="S211" s="68">
        <f ca="1">S207+S210</f>
        <v>0</v>
      </c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</row>
    <row r="212" spans="1:51" x14ac:dyDescent="0.2">
      <c r="A212" s="251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3"/>
      <c r="O212" s="253"/>
      <c r="P212" s="253"/>
      <c r="Q212" s="253"/>
      <c r="R212" s="253"/>
      <c r="S212" s="253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</row>
    <row r="213" spans="1:51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54"/>
      <c r="O213" s="254"/>
      <c r="P213" s="254"/>
      <c r="Q213" s="254"/>
      <c r="R213" s="254"/>
      <c r="S213" s="254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</row>
    <row r="214" spans="1:51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47"/>
      <c r="O214" s="247"/>
      <c r="P214" s="247"/>
      <c r="Q214" s="247"/>
      <c r="R214" s="247"/>
      <c r="S214" s="24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</row>
    <row r="215" spans="1:51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47"/>
      <c r="O215" s="247"/>
      <c r="P215" s="247"/>
      <c r="Q215" s="247"/>
      <c r="R215" s="247"/>
      <c r="S215" s="24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</row>
    <row r="216" spans="1:51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47"/>
      <c r="O216" s="247"/>
      <c r="P216" s="247"/>
      <c r="Q216" s="247"/>
      <c r="R216" s="247"/>
      <c r="S216" s="24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</row>
    <row r="217" spans="1:51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54"/>
      <c r="O217" s="254"/>
      <c r="P217" s="254"/>
      <c r="Q217" s="254"/>
      <c r="R217" s="254"/>
      <c r="S217" s="254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</row>
    <row r="218" spans="1:51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47"/>
      <c r="O218" s="247"/>
      <c r="P218" s="247"/>
      <c r="Q218" s="247"/>
      <c r="R218" s="247"/>
      <c r="S218" s="24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</row>
    <row r="219" spans="1:51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51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51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51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  <row r="223" spans="1:51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</row>
    <row r="224" spans="1:51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</row>
    <row r="226" spans="1:22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</row>
    <row r="227" spans="1:22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</row>
    <row r="228" spans="1:22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</row>
    <row r="229" spans="1:22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</row>
    <row r="230" spans="1:22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</row>
    <row r="231" spans="1:22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</row>
    <row r="232" spans="1:22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</row>
    <row r="233" spans="1:22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</row>
    <row r="234" spans="1:22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</row>
    <row r="235" spans="1:22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</row>
    <row r="236" spans="1:22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</row>
    <row r="237" spans="1:22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</row>
    <row r="238" spans="1:22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</row>
    <row r="239" spans="1:22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</row>
    <row r="240" spans="1:22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</row>
    <row r="241" spans="1:22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</row>
    <row r="242" spans="1:22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</row>
    <row r="243" spans="1:22" x14ac:dyDescent="0.2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</row>
    <row r="244" spans="1:22" x14ac:dyDescent="0.2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</row>
    <row r="245" spans="1:22" x14ac:dyDescent="0.2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</row>
    <row r="246" spans="1:22" x14ac:dyDescent="0.2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</row>
    <row r="247" spans="1:22" x14ac:dyDescent="0.2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</row>
    <row r="248" spans="1:22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</row>
    <row r="249" spans="1:22" x14ac:dyDescent="0.2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</row>
    <row r="250" spans="1:22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</row>
    <row r="251" spans="1:22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</row>
    <row r="254" spans="1:22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</row>
    <row r="255" spans="1:22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</row>
    <row r="256" spans="1:22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</row>
    <row r="257" spans="1:22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</row>
    <row r="258" spans="1:22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</row>
    <row r="259" spans="1:22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</row>
    <row r="260" spans="1:22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</row>
    <row r="261" spans="1:22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</row>
    <row r="262" spans="1:22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</row>
    <row r="263" spans="1:22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</row>
    <row r="264" spans="1:22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</row>
    <row r="265" spans="1:22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</row>
    <row r="266" spans="1:22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</row>
    <row r="267" spans="1:22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</row>
    <row r="268" spans="1:22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x14ac:dyDescent="0.2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</row>
    <row r="270" spans="1:22" x14ac:dyDescent="0.2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</row>
    <row r="271" spans="1:22" x14ac:dyDescent="0.2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</row>
    <row r="272" spans="1:22" x14ac:dyDescent="0.2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</row>
    <row r="273" spans="1:22" x14ac:dyDescent="0.2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</row>
    <row r="274" spans="1:22" x14ac:dyDescent="0.2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</row>
    <row r="275" spans="1:22" x14ac:dyDescent="0.2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</row>
    <row r="276" spans="1:22" x14ac:dyDescent="0.2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</row>
    <row r="277" spans="1:22" x14ac:dyDescent="0.2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</row>
    <row r="278" spans="1:22" x14ac:dyDescent="0.2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x14ac:dyDescent="0.2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280" spans="1:22" x14ac:dyDescent="0.2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</row>
    <row r="281" spans="1:22" x14ac:dyDescent="0.2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</row>
    <row r="282" spans="1:22" x14ac:dyDescent="0.2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</row>
    <row r="283" spans="1:22" x14ac:dyDescent="0.2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</row>
    <row r="284" spans="1:22" x14ac:dyDescent="0.2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</row>
    <row r="285" spans="1:22" x14ac:dyDescent="0.2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</row>
    <row r="286" spans="1:22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</row>
    <row r="287" spans="1:22" x14ac:dyDescent="0.2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</row>
    <row r="288" spans="1:22" x14ac:dyDescent="0.2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</row>
    <row r="289" spans="1:22" x14ac:dyDescent="0.2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</row>
    <row r="290" spans="1:22" x14ac:dyDescent="0.2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</row>
    <row r="291" spans="1:22" x14ac:dyDescent="0.2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</row>
    <row r="292" spans="1:22" x14ac:dyDescent="0.2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</row>
    <row r="293" spans="1:22" x14ac:dyDescent="0.2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</row>
    <row r="294" spans="1:22" x14ac:dyDescent="0.2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</row>
    <row r="295" spans="1:22" x14ac:dyDescent="0.2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</row>
    <row r="296" spans="1:22" x14ac:dyDescent="0.2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</row>
    <row r="297" spans="1:22" x14ac:dyDescent="0.2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</row>
    <row r="298" spans="1:22" x14ac:dyDescent="0.2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</row>
    <row r="299" spans="1:22" x14ac:dyDescent="0.2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</row>
    <row r="300" spans="1:22" x14ac:dyDescent="0.2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</row>
    <row r="301" spans="1:22" x14ac:dyDescent="0.2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</row>
    <row r="302" spans="1:22" x14ac:dyDescent="0.2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</row>
    <row r="303" spans="1:22" x14ac:dyDescent="0.2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</row>
    <row r="304" spans="1:22" x14ac:dyDescent="0.2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</row>
    <row r="305" spans="1:22" x14ac:dyDescent="0.2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</row>
    <row r="306" spans="1:22" x14ac:dyDescent="0.2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</row>
    <row r="307" spans="1:22" x14ac:dyDescent="0.2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</row>
    <row r="308" spans="1:22" x14ac:dyDescent="0.2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</row>
    <row r="309" spans="1:22" x14ac:dyDescent="0.2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</row>
    <row r="310" spans="1:22" x14ac:dyDescent="0.2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</row>
    <row r="311" spans="1:22" x14ac:dyDescent="0.2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</row>
    <row r="312" spans="1:22" x14ac:dyDescent="0.2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x14ac:dyDescent="0.2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</row>
    <row r="314" spans="1:22" x14ac:dyDescent="0.2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</row>
    <row r="315" spans="1:22" x14ac:dyDescent="0.2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</row>
    <row r="316" spans="1:22" x14ac:dyDescent="0.2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</row>
    <row r="317" spans="1:22" x14ac:dyDescent="0.2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</row>
    <row r="318" spans="1:22" x14ac:dyDescent="0.2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</row>
    <row r="319" spans="1:22" x14ac:dyDescent="0.2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</row>
    <row r="320" spans="1:22" x14ac:dyDescent="0.2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</row>
    <row r="321" spans="1:22" x14ac:dyDescent="0.2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</row>
    <row r="322" spans="1:22" x14ac:dyDescent="0.2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</row>
    <row r="323" spans="1:22" x14ac:dyDescent="0.2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</row>
    <row r="324" spans="1:22" x14ac:dyDescent="0.2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</row>
    <row r="325" spans="1:22" x14ac:dyDescent="0.2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</row>
    <row r="326" spans="1:22" x14ac:dyDescent="0.2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</row>
    <row r="327" spans="1:22" x14ac:dyDescent="0.2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</row>
    <row r="328" spans="1:22" x14ac:dyDescent="0.2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</row>
    <row r="329" spans="1:22" x14ac:dyDescent="0.2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</row>
    <row r="330" spans="1:22" x14ac:dyDescent="0.2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</row>
    <row r="331" spans="1:22" x14ac:dyDescent="0.2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</row>
    <row r="332" spans="1:22" x14ac:dyDescent="0.2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</row>
    <row r="333" spans="1:22" x14ac:dyDescent="0.2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</row>
    <row r="334" spans="1:22" x14ac:dyDescent="0.2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</row>
    <row r="335" spans="1:22" x14ac:dyDescent="0.2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</row>
    <row r="336" spans="1:22" x14ac:dyDescent="0.2">
      <c r="A336" s="237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</row>
    <row r="337" spans="1:22" x14ac:dyDescent="0.2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</row>
    <row r="338" spans="1:22" x14ac:dyDescent="0.2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</row>
    <row r="339" spans="1:22" x14ac:dyDescent="0.2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</row>
    <row r="340" spans="1:22" x14ac:dyDescent="0.2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</row>
    <row r="341" spans="1:22" x14ac:dyDescent="0.2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</row>
    <row r="342" spans="1:22" x14ac:dyDescent="0.2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</row>
    <row r="343" spans="1:22" x14ac:dyDescent="0.2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</row>
    <row r="344" spans="1:22" x14ac:dyDescent="0.2">
      <c r="A344" s="237"/>
      <c r="B344" s="237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</row>
    <row r="345" spans="1:22" x14ac:dyDescent="0.2">
      <c r="A345" s="237"/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</row>
    <row r="346" spans="1:22" x14ac:dyDescent="0.2">
      <c r="A346" s="237"/>
      <c r="B346" s="237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</row>
    <row r="347" spans="1:22" x14ac:dyDescent="0.2">
      <c r="A347" s="237"/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</row>
    <row r="348" spans="1:22" x14ac:dyDescent="0.2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</row>
    <row r="349" spans="1:22" x14ac:dyDescent="0.2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</row>
    <row r="350" spans="1:22" x14ac:dyDescent="0.2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</row>
    <row r="351" spans="1:22" x14ac:dyDescent="0.2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</row>
    <row r="352" spans="1:22" x14ac:dyDescent="0.2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</row>
    <row r="353" spans="1:22" x14ac:dyDescent="0.2">
      <c r="A353" s="237"/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</row>
    <row r="354" spans="1:22" x14ac:dyDescent="0.2">
      <c r="A354" s="237"/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</row>
    <row r="355" spans="1:22" x14ac:dyDescent="0.2">
      <c r="A355" s="237"/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</row>
    <row r="356" spans="1:22" x14ac:dyDescent="0.2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</row>
    <row r="357" spans="1:22" x14ac:dyDescent="0.2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</row>
    <row r="358" spans="1:22" x14ac:dyDescent="0.2">
      <c r="A358" s="237"/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</row>
    <row r="359" spans="1:22" x14ac:dyDescent="0.2">
      <c r="A359" s="237"/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</row>
    <row r="360" spans="1:22" x14ac:dyDescent="0.2">
      <c r="A360" s="237"/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</row>
    <row r="361" spans="1:22" x14ac:dyDescent="0.2">
      <c r="A361" s="237"/>
      <c r="B361" s="237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</row>
    <row r="362" spans="1:22" x14ac:dyDescent="0.2">
      <c r="A362" s="237"/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</row>
    <row r="363" spans="1:22" x14ac:dyDescent="0.2">
      <c r="A363" s="237"/>
      <c r="B363" s="237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</row>
    <row r="364" spans="1:22" x14ac:dyDescent="0.2">
      <c r="A364" s="237"/>
      <c r="B364" s="237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</row>
    <row r="365" spans="1:22" x14ac:dyDescent="0.2">
      <c r="A365" s="237"/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</row>
    <row r="366" spans="1:22" x14ac:dyDescent="0.2">
      <c r="A366" s="237"/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</row>
    <row r="367" spans="1:22" x14ac:dyDescent="0.2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</row>
    <row r="368" spans="1:22" x14ac:dyDescent="0.2">
      <c r="A368" s="237"/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</row>
    <row r="369" spans="1:22" x14ac:dyDescent="0.2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</row>
    <row r="370" spans="1:22" x14ac:dyDescent="0.2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</row>
    <row r="371" spans="1:22" x14ac:dyDescent="0.2">
      <c r="A371" s="237"/>
      <c r="B371" s="237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</row>
    <row r="372" spans="1:22" x14ac:dyDescent="0.2">
      <c r="A372" s="237"/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</row>
    <row r="373" spans="1:22" x14ac:dyDescent="0.2">
      <c r="A373" s="237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</row>
    <row r="374" spans="1:22" x14ac:dyDescent="0.2">
      <c r="A374" s="237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</row>
    <row r="375" spans="1:22" x14ac:dyDescent="0.2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</row>
    <row r="376" spans="1:22" x14ac:dyDescent="0.2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</row>
    <row r="377" spans="1:22" x14ac:dyDescent="0.2">
      <c r="A377" s="237"/>
      <c r="B377" s="237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</row>
    <row r="378" spans="1:22" x14ac:dyDescent="0.2">
      <c r="A378" s="237"/>
      <c r="B378" s="237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</row>
    <row r="379" spans="1:22" x14ac:dyDescent="0.2">
      <c r="A379" s="237"/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</row>
    <row r="380" spans="1:22" x14ac:dyDescent="0.2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</row>
    <row r="381" spans="1:22" x14ac:dyDescent="0.2">
      <c r="A381" s="237"/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</row>
    <row r="382" spans="1:22" x14ac:dyDescent="0.2">
      <c r="A382" s="237"/>
      <c r="B382" s="237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</row>
    <row r="383" spans="1:22" x14ac:dyDescent="0.2">
      <c r="A383" s="237"/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</row>
    <row r="384" spans="1:22" x14ac:dyDescent="0.2">
      <c r="A384" s="237"/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</row>
    <row r="385" spans="1:22" x14ac:dyDescent="0.2">
      <c r="A385" s="237"/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</row>
    <row r="386" spans="1:22" x14ac:dyDescent="0.2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</row>
    <row r="387" spans="1:22" x14ac:dyDescent="0.2">
      <c r="A387" s="237"/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</row>
    <row r="388" spans="1:22" x14ac:dyDescent="0.2">
      <c r="A388" s="237"/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</row>
    <row r="389" spans="1:22" x14ac:dyDescent="0.2">
      <c r="A389" s="237"/>
      <c r="B389" s="237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</row>
    <row r="390" spans="1:22" x14ac:dyDescent="0.2">
      <c r="A390" s="237"/>
      <c r="B390" s="237"/>
      <c r="C390" s="237"/>
      <c r="D390" s="237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</row>
    <row r="391" spans="1:22" x14ac:dyDescent="0.2">
      <c r="A391" s="237"/>
      <c r="B391" s="237"/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</row>
    <row r="392" spans="1:22" x14ac:dyDescent="0.2">
      <c r="A392" s="237"/>
      <c r="B392" s="237"/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</row>
    <row r="393" spans="1:22" x14ac:dyDescent="0.2">
      <c r="A393" s="237"/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</row>
    <row r="394" spans="1:22" x14ac:dyDescent="0.2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</row>
  </sheetData>
  <sheetProtection formatCells="0" formatColumns="0" formatRows="0"/>
  <dataConsolidate/>
  <mergeCells count="233">
    <mergeCell ref="D208:E208"/>
    <mergeCell ref="F208:M208"/>
    <mergeCell ref="E209:M209"/>
    <mergeCell ref="E210:G210"/>
    <mergeCell ref="H210:I210"/>
    <mergeCell ref="J210:K210"/>
    <mergeCell ref="L210:M210"/>
    <mergeCell ref="A170:C170"/>
    <mergeCell ref="D170:E170"/>
    <mergeCell ref="G170:H170"/>
    <mergeCell ref="G171:H171"/>
    <mergeCell ref="I171:M171"/>
    <mergeCell ref="A206:M206"/>
    <mergeCell ref="A168:C168"/>
    <mergeCell ref="D168:E168"/>
    <mergeCell ref="G168:H168"/>
    <mergeCell ref="A169:C169"/>
    <mergeCell ref="D169:E169"/>
    <mergeCell ref="G169:H169"/>
    <mergeCell ref="A166:C166"/>
    <mergeCell ref="D166:E166"/>
    <mergeCell ref="G166:H166"/>
    <mergeCell ref="A167:C167"/>
    <mergeCell ref="D167:E167"/>
    <mergeCell ref="G167:H167"/>
    <mergeCell ref="A164:C164"/>
    <mergeCell ref="D164:E164"/>
    <mergeCell ref="G164:H164"/>
    <mergeCell ref="A165:C165"/>
    <mergeCell ref="D165:E165"/>
    <mergeCell ref="G165:H165"/>
    <mergeCell ref="A162:C162"/>
    <mergeCell ref="D162:E162"/>
    <mergeCell ref="G162:H162"/>
    <mergeCell ref="A163:C163"/>
    <mergeCell ref="D163:E163"/>
    <mergeCell ref="G163:H163"/>
    <mergeCell ref="A160:C160"/>
    <mergeCell ref="D160:E160"/>
    <mergeCell ref="G160:H160"/>
    <mergeCell ref="A161:C161"/>
    <mergeCell ref="D161:E161"/>
    <mergeCell ref="G161:H161"/>
    <mergeCell ref="A158:C158"/>
    <mergeCell ref="D158:E158"/>
    <mergeCell ref="G158:H158"/>
    <mergeCell ref="A159:C159"/>
    <mergeCell ref="D159:E159"/>
    <mergeCell ref="G159:H159"/>
    <mergeCell ref="K138:M138"/>
    <mergeCell ref="K139:M139"/>
    <mergeCell ref="K140:M140"/>
    <mergeCell ref="A141:C141"/>
    <mergeCell ref="A142:M142"/>
    <mergeCell ref="A156:C156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A85:M85"/>
    <mergeCell ref="A86:C86"/>
    <mergeCell ref="A88:C88"/>
    <mergeCell ref="A123:C123"/>
    <mergeCell ref="A125:C125"/>
    <mergeCell ref="K125:M125"/>
    <mergeCell ref="A61:M61"/>
    <mergeCell ref="A63:C63"/>
    <mergeCell ref="A73:C73"/>
    <mergeCell ref="A75:C75"/>
    <mergeCell ref="K75:M75"/>
    <mergeCell ref="A84:M84"/>
    <mergeCell ref="B59:C59"/>
    <mergeCell ref="F59:G59"/>
    <mergeCell ref="H59:I59"/>
    <mergeCell ref="J59:K59"/>
    <mergeCell ref="L59:M59"/>
    <mergeCell ref="A60:M60"/>
    <mergeCell ref="B57:C57"/>
    <mergeCell ref="F57:G57"/>
    <mergeCell ref="H57:I57"/>
    <mergeCell ref="J57:K57"/>
    <mergeCell ref="L57:M57"/>
    <mergeCell ref="B58:C58"/>
    <mergeCell ref="F58:G58"/>
    <mergeCell ref="H58:I58"/>
    <mergeCell ref="J58:K58"/>
    <mergeCell ref="L58:M58"/>
    <mergeCell ref="B55:C55"/>
    <mergeCell ref="F55:G55"/>
    <mergeCell ref="H55:I55"/>
    <mergeCell ref="J55:K55"/>
    <mergeCell ref="L55:M55"/>
    <mergeCell ref="B56:C56"/>
    <mergeCell ref="F56:G56"/>
    <mergeCell ref="H56:I56"/>
    <mergeCell ref="J56:K56"/>
    <mergeCell ref="L56:M56"/>
    <mergeCell ref="B53:C53"/>
    <mergeCell ref="F53:G53"/>
    <mergeCell ref="H53:I53"/>
    <mergeCell ref="J53:K53"/>
    <mergeCell ref="L53:M53"/>
    <mergeCell ref="B54:C54"/>
    <mergeCell ref="F54:G54"/>
    <mergeCell ref="H54:I54"/>
    <mergeCell ref="J54:K54"/>
    <mergeCell ref="L54:M54"/>
    <mergeCell ref="B51:C51"/>
    <mergeCell ref="F51:G51"/>
    <mergeCell ref="H51:I51"/>
    <mergeCell ref="J51:K51"/>
    <mergeCell ref="L51:M51"/>
    <mergeCell ref="B52:C52"/>
    <mergeCell ref="F52:G52"/>
    <mergeCell ref="H52:I52"/>
    <mergeCell ref="J52:K52"/>
    <mergeCell ref="L52:M52"/>
    <mergeCell ref="B49:C49"/>
    <mergeCell ref="F49:G49"/>
    <mergeCell ref="H49:I49"/>
    <mergeCell ref="J49:K49"/>
    <mergeCell ref="L49:M49"/>
    <mergeCell ref="B50:C50"/>
    <mergeCell ref="F50:G50"/>
    <mergeCell ref="H50:I50"/>
    <mergeCell ref="J50:K50"/>
    <mergeCell ref="L50:M50"/>
    <mergeCell ref="B47:C47"/>
    <mergeCell ref="F47:G47"/>
    <mergeCell ref="H47:I47"/>
    <mergeCell ref="J47:K47"/>
    <mergeCell ref="L47:M47"/>
    <mergeCell ref="B48:C48"/>
    <mergeCell ref="F48:G48"/>
    <mergeCell ref="H48:I48"/>
    <mergeCell ref="J48:K48"/>
    <mergeCell ref="L48:M48"/>
    <mergeCell ref="B45:C45"/>
    <mergeCell ref="F45:G45"/>
    <mergeCell ref="H45:I45"/>
    <mergeCell ref="J45:K45"/>
    <mergeCell ref="L45:M45"/>
    <mergeCell ref="B46:C46"/>
    <mergeCell ref="F46:G46"/>
    <mergeCell ref="H46:I46"/>
    <mergeCell ref="J46:K46"/>
    <mergeCell ref="L46:M46"/>
    <mergeCell ref="B43:C43"/>
    <mergeCell ref="F43:G43"/>
    <mergeCell ref="H43:I43"/>
    <mergeCell ref="J43:K43"/>
    <mergeCell ref="L43:M43"/>
    <mergeCell ref="B44:C44"/>
    <mergeCell ref="F44:G44"/>
    <mergeCell ref="H44:I44"/>
    <mergeCell ref="J44:K44"/>
    <mergeCell ref="L44:M44"/>
    <mergeCell ref="B41:C41"/>
    <mergeCell ref="F41:G41"/>
    <mergeCell ref="H41:I41"/>
    <mergeCell ref="J41:K41"/>
    <mergeCell ref="L41:M41"/>
    <mergeCell ref="B42:C42"/>
    <mergeCell ref="F42:G42"/>
    <mergeCell ref="H42:I42"/>
    <mergeCell ref="J42:K42"/>
    <mergeCell ref="L42:M42"/>
    <mergeCell ref="B39:C39"/>
    <mergeCell ref="F39:G39"/>
    <mergeCell ref="H39:I39"/>
    <mergeCell ref="J39:K39"/>
    <mergeCell ref="L39:M39"/>
    <mergeCell ref="B40:C40"/>
    <mergeCell ref="F40:G40"/>
    <mergeCell ref="H40:I40"/>
    <mergeCell ref="J40:K40"/>
    <mergeCell ref="L40:M40"/>
    <mergeCell ref="B37:C37"/>
    <mergeCell ref="F37:G37"/>
    <mergeCell ref="H37:I37"/>
    <mergeCell ref="J37:K37"/>
    <mergeCell ref="L37:M37"/>
    <mergeCell ref="B38:C38"/>
    <mergeCell ref="F38:G38"/>
    <mergeCell ref="H38:I38"/>
    <mergeCell ref="J38:K38"/>
    <mergeCell ref="L38:M38"/>
    <mergeCell ref="A35:C35"/>
    <mergeCell ref="F35:G35"/>
    <mergeCell ref="H35:I35"/>
    <mergeCell ref="J35:K35"/>
    <mergeCell ref="L35:M35"/>
    <mergeCell ref="B36:C36"/>
    <mergeCell ref="F36:G36"/>
    <mergeCell ref="H36:I36"/>
    <mergeCell ref="J36:K36"/>
    <mergeCell ref="L36:M36"/>
    <mergeCell ref="S6:S7"/>
    <mergeCell ref="A32:M32"/>
    <mergeCell ref="F34:G34"/>
    <mergeCell ref="H34:I34"/>
    <mergeCell ref="J34:K34"/>
    <mergeCell ref="L34:M34"/>
    <mergeCell ref="Q34:R34"/>
    <mergeCell ref="M6:M7"/>
    <mergeCell ref="N6:N7"/>
    <mergeCell ref="O6:O7"/>
    <mergeCell ref="P6:P7"/>
    <mergeCell ref="Q6:Q7"/>
    <mergeCell ref="R6:R7"/>
    <mergeCell ref="A6:A7"/>
    <mergeCell ref="B6:D7"/>
    <mergeCell ref="E6:E7"/>
    <mergeCell ref="F6:J6"/>
    <mergeCell ref="K6:K7"/>
    <mergeCell ref="L6:L7"/>
    <mergeCell ref="D1:D2"/>
    <mergeCell ref="F1:N1"/>
    <mergeCell ref="O1:Q1"/>
    <mergeCell ref="R1:S1"/>
    <mergeCell ref="F2:M2"/>
    <mergeCell ref="A4:J5"/>
    <mergeCell ref="K4:L5"/>
    <mergeCell ref="M4:M5"/>
    <mergeCell ref="P4:Q4"/>
  </mergeCells>
  <conditionalFormatting sqref="M8:M31">
    <cfRule type="expression" dxfId="41" priority="8">
      <formula>$S$4="Multi"</formula>
    </cfRule>
  </conditionalFormatting>
  <conditionalFormatting sqref="A209:M209">
    <cfRule type="expression" dxfId="40" priority="9">
      <formula>$H$210&lt;&gt;"CUSTOM"</formula>
    </cfRule>
  </conditionalFormatting>
  <conditionalFormatting sqref="A206:S206">
    <cfRule type="expression" dxfId="39" priority="13">
      <formula>$D$1="Non-NIH"</formula>
    </cfRule>
  </conditionalFormatting>
  <conditionalFormatting sqref="A142:S142">
    <cfRule type="expression" dxfId="38" priority="14">
      <formula>$D$1="Non-NIH"</formula>
    </cfRule>
    <cfRule type="expression" dxfId="37" priority="15">
      <formula>$D$1="Non-NIH"</formula>
    </cfRule>
  </conditionalFormatting>
  <conditionalFormatting sqref="L36:M59">
    <cfRule type="expression" dxfId="36" priority="1">
      <formula>$R$2="0 Months"</formula>
    </cfRule>
  </conditionalFormatting>
  <conditionalFormatting sqref="F36:G59">
    <cfRule type="expression" dxfId="35" priority="4">
      <formula>$O$2="0 Months"</formula>
    </cfRule>
  </conditionalFormatting>
  <conditionalFormatting sqref="H36:I59">
    <cfRule type="expression" dxfId="34" priority="3">
      <formula>$P$2="0 Months"</formula>
    </cfRule>
  </conditionalFormatting>
  <conditionalFormatting sqref="J36:K59">
    <cfRule type="expression" dxfId="33" priority="2">
      <formula>$Q$2="0 Months"</formula>
    </cfRule>
  </conditionalFormatting>
  <dataValidations count="18">
    <dataValidation type="list" allowBlank="1" showInputMessage="1" showErrorMessage="1" sqref="K8:K31">
      <formula1>"SMR,AY,CAL"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M76:M85">
      <formula1>"Yes,No"</formula1>
    </dataValidation>
    <dataValidation type="list" allowBlank="1" showInputMessage="1" showErrorMessage="1" sqref="F159:F170">
      <formula1>"0%,1%,2%,3%,4%,5%,6%,7%,8%,9%,10%"</formula1>
    </dataValidation>
    <dataValidation type="list" allowBlank="1" showInputMessage="1" showErrorMessage="1" sqref="I171:M171">
      <formula1>"Federal,Non-Federal"</formula1>
    </dataValidation>
    <dataValidation type="list" allowBlank="1" showInputMessage="1" showErrorMessage="1" sqref="H210">
      <formula1>"MTDC,TC,TDC,CUSTOM"</formula1>
    </dataValidation>
    <dataValidation type="list" allowBlank="1" showInputMessage="1" showErrorMessage="1" sqref="S34">
      <formula1>"No,Yes"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I158:M158">
      <formula1>"#GSRs,#Qrtr"</formula1>
    </dataValidation>
    <dataValidation type="list" allowBlank="1" showInputMessage="1" showErrorMessage="1" sqref="F158">
      <formula1>"AY,PY"</formula1>
    </dataValidation>
    <dataValidation type="list" allowBlank="1" showInputMessage="1" showErrorMessage="1" sqref="D159:E170">
      <formula1>"Resident,Non-Resident,Part-Time,Summer Only, Filing Status, Fellowship,Other"</formula1>
    </dataValidation>
    <dataValidation type="list" allowBlank="1" showInputMessage="1" showErrorMessage="1" sqref="D158:E158">
      <formula1>"Use Buydown, Use Full Rates"</formula1>
    </dataValidation>
    <dataValidation type="list" allowBlank="1" showInputMessage="1" showErrorMessage="1" sqref="D1">
      <formula1>"NIH,Non-NIH"</formula1>
    </dataValidation>
    <dataValidation type="list" allowBlank="1" showInputMessage="1" showErrorMessage="1" sqref="K126:M140">
      <formula1>"Non-UC,UC, IC of Above"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C9E65550-AF10-4003-BFCB-9DFFD21F77B8}">
            <xm:f>$F$208&lt;&gt;'W9'!$A$91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H210:K210 E210</xm:sqref>
        </x14:conditionalFormatting>
        <x14:conditionalFormatting xmlns:xm="http://schemas.microsoft.com/office/excel/2006/main">
          <x14:cfRule type="expression" priority="11" id="{70CFAB0D-875D-436A-9813-965CE7F49D21}">
            <xm:f>$F$208&lt;&gt;'W9'!$A$91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L210:M210</xm:sqref>
        </x14:conditionalFormatting>
        <x14:conditionalFormatting xmlns:xm="http://schemas.microsoft.com/office/excel/2006/main">
          <x14:cfRule type="expression" priority="12" id="{908530B9-6240-4A21-B1C0-F9897D8B55A1}">
            <xm:f>$F$208&lt;&gt;'W9'!$A$91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E209:M209</xm:sqref>
        </x14:conditionalFormatting>
        <x14:conditionalFormatting xmlns:xm="http://schemas.microsoft.com/office/excel/2006/main">
          <x14:cfRule type="expression" priority="7" id="{01CA7BCE-427E-4D8D-BD60-6711954F3C68}">
            <xm:f>'W9'!$G$5=0</xm:f>
            <x14:dxf>
              <font>
                <color theme="0"/>
              </font>
            </x14:dxf>
          </x14:cfRule>
          <xm:sqref>L36:M59</xm:sqref>
        </x14:conditionalFormatting>
        <x14:conditionalFormatting xmlns:xm="http://schemas.microsoft.com/office/excel/2006/main">
          <x14:cfRule type="expression" priority="6" id="{829194FC-777E-4D06-A3C1-D3B9AADD091E}">
            <xm:f>'W9'!$B$5&lt;'W9'!$C$1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5" id="{33F151F2-5FE9-4C46-BE68-57DB5C16562C}">
            <xm:f>'W9'!$B$5&lt;'W9'!$C$1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'W9'!$A$58:$A$70</xm:f>
          </x14:formula1>
          <xm:sqref>D36:D59</xm:sqref>
        </x14:dataValidation>
        <x14:dataValidation type="list" allowBlank="1" showInputMessage="1" showErrorMessage="1">
          <x14:formula1>
            <xm:f>'W9'!$A$86:$A$91</xm:f>
          </x14:formula1>
          <xm:sqref>F208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Y394"/>
  <sheetViews>
    <sheetView zoomScaleNormal="100" workbookViewId="0">
      <selection activeCell="A8" sqref="A8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5.42578125" style="39" customWidth="1"/>
    <col min="7" max="7" width="5" style="39" customWidth="1"/>
    <col min="8" max="8" width="5.42578125" style="39" customWidth="1"/>
    <col min="9" max="9" width="5.7109375" style="39" customWidth="1"/>
    <col min="10" max="10" width="5.28515625" style="39" customWidth="1"/>
    <col min="11" max="11" width="4.85546875" style="39" bestFit="1" customWidth="1"/>
    <col min="12" max="12" width="5" style="39" customWidth="1"/>
    <col min="13" max="13" width="4.7109375" style="39" customWidth="1"/>
    <col min="14" max="14" width="9.85546875" style="39" customWidth="1"/>
    <col min="15" max="15" width="9.42578125" style="39" customWidth="1"/>
    <col min="16" max="16" width="10" style="39" bestFit="1" customWidth="1"/>
    <col min="17" max="17" width="10" style="39" customWidth="1"/>
    <col min="18" max="18" width="9.7109375" style="39" customWidth="1"/>
    <col min="19" max="19" width="10.42578125" style="39" customWidth="1"/>
    <col min="20" max="24" width="9.85546875" style="39" bestFit="1" customWidth="1"/>
    <col min="25" max="16384" width="8.85546875" style="39"/>
  </cols>
  <sheetData>
    <row r="1" spans="1:51" ht="13.15" customHeight="1" thickTop="1" thickBot="1" x14ac:dyDescent="0.25">
      <c r="A1" s="109"/>
      <c r="B1" s="107" t="s">
        <v>1</v>
      </c>
      <c r="C1" s="196">
        <v>43009</v>
      </c>
      <c r="D1" s="327" t="s">
        <v>223</v>
      </c>
      <c r="E1" s="228" t="s">
        <v>186</v>
      </c>
      <c r="F1" s="321"/>
      <c r="G1" s="322"/>
      <c r="H1" s="322"/>
      <c r="I1" s="322"/>
      <c r="J1" s="322"/>
      <c r="K1" s="322"/>
      <c r="L1" s="322"/>
      <c r="M1" s="322"/>
      <c r="N1" s="323"/>
      <c r="O1" s="358" t="s">
        <v>151</v>
      </c>
      <c r="P1" s="359"/>
      <c r="Q1" s="359"/>
      <c r="R1" s="391">
        <v>42886</v>
      </c>
      <c r="S1" s="392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3.15" customHeight="1" thickTop="1" x14ac:dyDescent="0.2">
      <c r="A2" s="61"/>
      <c r="B2" s="108" t="s">
        <v>2</v>
      </c>
      <c r="C2" s="196">
        <v>44834</v>
      </c>
      <c r="D2" s="328"/>
      <c r="E2" s="229" t="s">
        <v>8</v>
      </c>
      <c r="F2" s="393"/>
      <c r="G2" s="394"/>
      <c r="H2" s="394"/>
      <c r="I2" s="394"/>
      <c r="J2" s="394"/>
      <c r="K2" s="394"/>
      <c r="L2" s="394"/>
      <c r="M2" s="395"/>
      <c r="N2" s="197" t="s">
        <v>221</v>
      </c>
      <c r="O2" s="198" t="str">
        <f>IF('W10'!D5=1,'W10'!D5&amp;" Month",'W10'!D5&amp;" Months")</f>
        <v>12 Months</v>
      </c>
      <c r="P2" s="198" t="str">
        <f>IF('W10'!E5=1,'W10'!E5&amp;" Month",'W10'!E5&amp;" Months")</f>
        <v>12 Months</v>
      </c>
      <c r="Q2" s="198" t="str">
        <f>IF('W10'!F5=1,'W10'!F5&amp;" Month",'W10'!F5&amp;" Months")</f>
        <v>12 Months</v>
      </c>
      <c r="R2" s="198" t="str">
        <f>IF('W10'!G5=1,'W10'!G5&amp;" Month",'W10'!G5&amp;" Months")</f>
        <v>12 Months</v>
      </c>
      <c r="S2" s="198" t="str">
        <f>IF('W10'!B5=1,'W10'!B5&amp;" Month",'W10'!B5&amp;" Months")</f>
        <v>60 Months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spans="1:51" ht="3" customHeight="1" thickBot="1" x14ac:dyDescent="0.25">
      <c r="C3" s="4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ht="14.45" customHeight="1" thickBot="1" x14ac:dyDescent="0.25">
      <c r="A4" s="396" t="s">
        <v>4</v>
      </c>
      <c r="B4" s="397"/>
      <c r="C4" s="397"/>
      <c r="D4" s="397"/>
      <c r="E4" s="397"/>
      <c r="F4" s="397"/>
      <c r="G4" s="397"/>
      <c r="H4" s="397"/>
      <c r="I4" s="397"/>
      <c r="J4" s="398"/>
      <c r="K4" s="329" t="s">
        <v>178</v>
      </c>
      <c r="L4" s="330"/>
      <c r="M4" s="333" t="s">
        <v>184</v>
      </c>
      <c r="N4" s="264" t="str">
        <f>IF('W10'!B5&gt;='W10'!C1,"",'W10'!B5&amp; " Months")</f>
        <v/>
      </c>
      <c r="O4" s="49"/>
      <c r="P4" s="380" t="s">
        <v>57</v>
      </c>
      <c r="Q4" s="380"/>
      <c r="R4" s="186" t="s">
        <v>215</v>
      </c>
      <c r="S4" s="215" t="s">
        <v>220</v>
      </c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pans="1:51" x14ac:dyDescent="0.2">
      <c r="A5" s="399"/>
      <c r="B5" s="400"/>
      <c r="C5" s="400"/>
      <c r="D5" s="400"/>
      <c r="E5" s="400"/>
      <c r="F5" s="400"/>
      <c r="G5" s="400"/>
      <c r="H5" s="400"/>
      <c r="I5" s="400"/>
      <c r="J5" s="401"/>
      <c r="K5" s="331"/>
      <c r="L5" s="332"/>
      <c r="M5" s="334"/>
      <c r="N5" s="50" t="s">
        <v>134</v>
      </c>
      <c r="O5" s="50" t="s">
        <v>135</v>
      </c>
      <c r="P5" s="50" t="s">
        <v>136</v>
      </c>
      <c r="Q5" s="50" t="s">
        <v>139</v>
      </c>
      <c r="R5" s="50" t="s">
        <v>137</v>
      </c>
      <c r="S5" s="115" t="s">
        <v>13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4.45" customHeight="1" x14ac:dyDescent="0.2">
      <c r="A6" s="337"/>
      <c r="B6" s="335" t="s">
        <v>138</v>
      </c>
      <c r="C6" s="335"/>
      <c r="D6" s="335"/>
      <c r="E6" s="339" t="s">
        <v>213</v>
      </c>
      <c r="F6" s="384" t="s">
        <v>168</v>
      </c>
      <c r="G6" s="385"/>
      <c r="H6" s="385"/>
      <c r="I6" s="385"/>
      <c r="J6" s="385"/>
      <c r="K6" s="353" t="s">
        <v>14</v>
      </c>
      <c r="L6" s="354" t="s">
        <v>64</v>
      </c>
      <c r="M6" s="355" t="s">
        <v>133</v>
      </c>
      <c r="N6" s="341" t="str">
        <f>TEXT('W10'!C2,"m/d/yy")&amp;"-"&amp;TEXT('W10'!C3,"m/d/yy")</f>
        <v>10/1/17-9/30/18</v>
      </c>
      <c r="O6" s="341" t="str">
        <f>TEXT('W10'!D2,"m/d/yy")&amp;"-"&amp;TEXT('W10'!D3,"m/d/yy")</f>
        <v>10/1/18-9/30/19</v>
      </c>
      <c r="P6" s="341" t="str">
        <f>TEXT('W10'!E2,"m/d/yy")&amp;"-"&amp;TEXT('W10'!E3,"m/d/yy")</f>
        <v>10/1/19-9/30/20</v>
      </c>
      <c r="Q6" s="341" t="str">
        <f>TEXT('W10'!F2,"m/d/yy")&amp;"-"&amp;TEXT('W10'!F3,"m/d/yy")</f>
        <v>10/1/20-9/30/21</v>
      </c>
      <c r="R6" s="341" t="str">
        <f>TEXT('W10'!G2,"m/d/yy")&amp;"-"&amp;TEXT('W10'!G3,"m/d/yy")</f>
        <v>10/1/21-9/30/22</v>
      </c>
      <c r="S6" s="341" t="str">
        <f>TEXT('W10'!B2,"m/d/yy")&amp;"-"&amp;TEXT('W10'!B3,"m/d/yy")</f>
        <v>10/1/17-9/30/22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</row>
    <row r="7" spans="1:51" x14ac:dyDescent="0.2">
      <c r="A7" s="338"/>
      <c r="B7" s="336"/>
      <c r="C7" s="336"/>
      <c r="D7" s="336"/>
      <c r="E7" s="340"/>
      <c r="F7" s="270" t="s">
        <v>169</v>
      </c>
      <c r="G7" s="270" t="s">
        <v>170</v>
      </c>
      <c r="H7" s="270" t="s">
        <v>171</v>
      </c>
      <c r="I7" s="270" t="s">
        <v>172</v>
      </c>
      <c r="J7" s="270" t="s">
        <v>173</v>
      </c>
      <c r="K7" s="353"/>
      <c r="L7" s="354"/>
      <c r="M7" s="355"/>
      <c r="N7" s="342"/>
      <c r="O7" s="342"/>
      <c r="P7" s="342"/>
      <c r="Q7" s="342"/>
      <c r="R7" s="342"/>
      <c r="S7" s="342"/>
      <c r="T7" s="246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1:51" x14ac:dyDescent="0.2">
      <c r="A8" s="192">
        <v>1</v>
      </c>
      <c r="B8" s="193"/>
      <c r="C8" s="193"/>
      <c r="D8" s="194"/>
      <c r="E8" s="195"/>
      <c r="F8" s="221"/>
      <c r="G8" s="221"/>
      <c r="H8" s="221"/>
      <c r="I8" s="221"/>
      <c r="J8" s="221"/>
      <c r="K8" s="190" t="s">
        <v>176</v>
      </c>
      <c r="L8" s="190">
        <v>12</v>
      </c>
      <c r="M8" s="191">
        <v>0.03</v>
      </c>
      <c r="N8" s="187">
        <f ca="1">IF(AND($S$4="Multi",$R$4="FY"),ROUNDUP(((1+$M8)^'W10'!$B$20*'W10'!$C$9+(1+$M8)^('W10'!$B$20+1)*'W10'!$C$10)/12*'R10'!$E8*'R10'!$F8,0),(IF(AND($S$4="Multi",$R$4="PY"),ROUND($E8*$F8/12*'W10'!$C$5,0),(IF(AND($S$4&lt;&gt;"Multi",$R$4="FY"),ROUND(((1+$S$4)^'W10'!$B$20*'W10'!$C$9+(1+$S$4)^('W10'!$B$20+1)*'W10'!$C$10)/12*'R10'!$E8*'R10'!$F8,0),ROUND($E8*$F8/12*'W10'!$C$5,0))))))</f>
        <v>0</v>
      </c>
      <c r="O8" s="187">
        <f ca="1">IF('W10'!$C$4='W10'!$D$4,(IF(AND($S$4="Multi",$R$4="FY"),ROUND(((1+$M8)^('W10'!$B$20)*'W10'!$D$9+(1+$M8)^('W10'!$B$20+1)*'W10'!$D$10)/12*'R10'!$E8*'R10'!$G8,0),(IF(AND($S$4="Multi",$R$4="PY"),ROUND($E8*$G8*(1+M8)/12*'W10'!$D$5,0),(IF(AND($S$4&lt;&gt;"Multi",$R$4="FY"),ROUND(((1+$S$4)^('W10'!$B$20)*'W10'!$D$9+(1+$S$4)^('W10'!$B$20+1)*'W10'!$D$10)/12*'R10'!$E8*'R10'!$G8,0),ROUND($E8*$G8*(1+$S$4)/12*'W10'!$D$5,0))))))),(IF(AND($S$4="Multi",$R$4="FY"),ROUND(((1+$M8)^('W10'!$B$20+1)*'W10'!$D$9+(1+$M8)^('W10'!$B$20+2)*'W10'!$D$10)/12*'R10'!$E8*'R10'!$G8,0),(IF(AND($S$4="Multi",$R$4="PY"),ROUND($E8*$G8*(1+M8)/12*'W10'!$D$5,0),(IF(AND($S$4&lt;&gt;"Multi",$R$4="FY"),ROUND(((1+$S$4)^('W10'!$B$20+1)*'W10'!$D$9+(1+$S$4)^('W10'!$B$20+2)*'W10'!$D$10)/12*'R10'!$E8*'R10'!$G8,0),ROUND($E8*$G8*(1+$S$4)/12*'W10'!$D$5,0))))))))</f>
        <v>0</v>
      </c>
      <c r="P8" s="187">
        <f ca="1">IF('W10'!$C$4='W10'!$D$4,(IF(AND($S$4="Multi",$R$4="FY"),ROUND(((1+$M8)^('W10'!$B$20+1)*'W10'!$E$9+(1+$M8)^('W10'!$B$20+2)*'W10'!$E$10)/12*'R10'!$E8*'R10'!H8,0),(IF(AND($S$4="Multi",$R$4="PY"),ROUND($E8*H8*((1+$M8)^2)/12*'W10'!$E$5,0),(IF(AND($S$4&lt;&gt;"Multi",$R$4="FY"),ROUND(((1+$S$4)^('W10'!$B$20+1)*'W10'!$E$9+(1+$S$4)^('W10'!$B$20+2)*'W10'!$E$10)/12*'R10'!$E8*'R10'!H8,0),ROUND($E8*H8*((1+$S$4)^2)/12*'W10'!$E$5,0))))))),(IF(AND($S$4="Multi",$R$4="FY"),ROUND(((1+$M8)^('W10'!$B$20+2)*'W10'!$E$9+(1+$M8)^('W10'!$B$20+3)*'W10'!$E$10)/12*'R10'!$E8*'R10'!H8,0),(IF(AND($S$4="Multi",$R$4="PY"),ROUND($E8*H8*((1+$M8)^2)/12*'W10'!$E$5,0),(IF(AND($S$4&lt;&gt;"Multi",$R$4="FY"),ROUND(((1+$S$4)^('W10'!$B$20+2)*'W10'!$E$9+(1+$S$4)^('W10'!$B$20+3)*'W10'!$E$10)/12*'R10'!$E8*'R10'!H8,0),ROUND($E8*H8*((1+$S$4)^2)/12*'W10'!$E$5,0))))))))</f>
        <v>0</v>
      </c>
      <c r="Q8" s="187">
        <f ca="1">IF('W10'!$C$4='W10'!$D$4,(IF(AND($S$4="Multi",$R$4="FY"),ROUND(((1+$M8)^('W10'!$B$20+2)*'W10'!$F$9+(1+$M8)^('W10'!$B$20+3)*'W10'!$F$10)/12*'R10'!$E8*'R10'!$I8,0),(IF(AND($S$4="Multi",$R$4="PY"),ROUND($E8*$I8*((1+$M8)^3)/12*'W10'!$F$5,0),(IF(AND($S$4&lt;&gt;"Multi",$R$4="FY"),ROUND(((1+$S$4)^('W10'!$B$20+2)*'W10'!$F$9+(1+$S$4)^('W10'!$B$20+3)*'W10'!$F$10)/12*'R10'!$E8*'R10'!$I8,0),ROUND($E8*$I8*((1+$S$4)^3)/12*'W10'!$F$5,0))))))),(IF(AND($S$4="Multi",$R$4="FY"),ROUND(((1+$M8)^('W10'!$B$20+3)*'W10'!$F$9+(1+$M8)^('W10'!$B$20+4)*'W10'!$F$10)/12*'R10'!$E8*'R10'!$I8,0),(IF(AND($S$4="Multi",$R$4="PY"),ROUND($E8*$I8*((1+$M8)^3)/12*'W10'!$F$5,0),(IF(AND($S$4&lt;&gt;"Multi",$R$4="FY"),ROUND(((1+$S$4)^('W10'!$B$20+3)*'W10'!$F$9+(1+$S$4)^('W10'!$B$20+4)*'W10'!$F$10)/12*'R10'!$E8*'R10'!$I8,0),ROUND($E8*$I8*((1+$S$4)^3)/12*'W10'!$F$5,0))))))))</f>
        <v>0</v>
      </c>
      <c r="R8" s="187">
        <f ca="1">IF('W10'!$C$4='W10'!$D$4,(IF(AND($S$4="Multi",$R$4="FY"),ROUND(((1+$M8)^('W10'!$B$20+3)*'W10'!$G$9+(1+$M8)^('W10'!$B$20+4)*'W10'!$G$10)/12*'R10'!$E8*'R10'!$J8,0),(IF(AND($S$4="Multi",$R$4="PY"),ROUND($E8*$J8*((1+$M8)^4)/12*'W10'!$G$5,0),(IF(AND($S$4&lt;&gt;"Multi",$R$4="FY"),ROUND(((1+$S$4)^('W10'!$B$20+3)*'W10'!$G$9+(1+$S$4)^('W10'!$B$20+4)*'W10'!$G$10)/12*'R10'!$E8*'R10'!$J8,0),ROUND($E8*$J8*((1+$S$4)^4)/12*'W10'!$G$5,0))))))),(IF(AND($S$4="Multi",$R$4="FY"),ROUND(((1+$M8)^('W10'!$B$20+4)*'W10'!$G$9+(1+$M8)^('W10'!$B$20+5)*'W10'!$G$10)/12*'R10'!$E8*'R10'!$J8,0),(IF(AND($S$4="Multi",$R$4="PY"),ROUND($E8*$J8*((1+$M8)^4)/12*'W10'!$G$5,0),(IF(AND($S$4&lt;&gt;"Multi",$R$4="FY"),ROUND(((1+$S$4)^('W10'!$B$20+4)*'W10'!$G$9+(1+$S$4)^('W10'!$B$20+5)*'W10'!$G$10)/12*'R10'!$E8*'R10'!$J8,0),ROUND($E8*$J8*((1+$S$4)^4)/12*'W10'!$G$5,0))))))))</f>
        <v>0</v>
      </c>
      <c r="S8" s="188">
        <f ca="1">SUM(N8:R8)</f>
        <v>0</v>
      </c>
      <c r="T8" s="246"/>
      <c r="U8" s="246"/>
      <c r="V8" s="246"/>
      <c r="W8" s="246"/>
      <c r="X8" s="246"/>
      <c r="Y8" s="247"/>
      <c r="Z8" s="247"/>
      <c r="AA8" s="247"/>
      <c r="AB8" s="247"/>
      <c r="AC8" s="24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</row>
    <row r="9" spans="1:51" x14ac:dyDescent="0.2">
      <c r="A9" s="192">
        <v>2</v>
      </c>
      <c r="B9" s="193"/>
      <c r="C9" s="193"/>
      <c r="D9" s="262"/>
      <c r="E9" s="195"/>
      <c r="F9" s="221"/>
      <c r="G9" s="221"/>
      <c r="H9" s="221"/>
      <c r="I9" s="221"/>
      <c r="J9" s="221"/>
      <c r="K9" s="190" t="s">
        <v>176</v>
      </c>
      <c r="L9" s="190">
        <v>12</v>
      </c>
      <c r="M9" s="191">
        <v>0.03</v>
      </c>
      <c r="N9" s="187">
        <f ca="1">IF(AND($S$4="Multi",$R$4="FY"),ROUND(((1+$M9)^'W10'!$B$20*'W10'!$C$9+(1+$M9)^('W10'!$B$20+1)*'W10'!$C$10)/12*'R10'!$E9*'R10'!$F9,0),(IF(AND($S$4="Multi",$R$4="PY"),ROUND(E9*F9/12*'W10'!$C$5,0),(IF(AND($S$4&lt;&gt;"Multi",$R$4="FY"),ROUND(((1+$S$4)^'W10'!$B$20*'W10'!$C$9+(1+$S$4)^('W10'!$B$20+1)*'W10'!$C$10)/12*'R10'!$E9*'R10'!$F9,0),ROUND($E9*$F9/12*'W10'!$C$5,0))))))</f>
        <v>0</v>
      </c>
      <c r="O9" s="187">
        <f ca="1">IF('W10'!$C$4='W10'!$D$4,(IF(AND($S$4="Multi",$R$4="FY"),ROUND(((1+$M9)^('W10'!$B$20)*'W10'!$D$9+(1+$M9)^('W10'!$B$20+1)*'W10'!$D$10)/12*'R10'!$E9*'R10'!$G9,0),(IF(AND($S$4="Multi",$R$4="PY"),ROUND($E9*$G9*(1+M9)/12*'W10'!$D$5,0),(IF(AND($S$4&lt;&gt;"Multi",$R$4="FY"),ROUND(((1+$S$4)^('W10'!$B$20)*'W10'!$D$9+(1+$S$4)^('W10'!$B$20+1)*'W10'!$D$10)/12*'R10'!$E9*'R10'!$G9,0),ROUND($E9*$G9*(1+$S$4)/12*'W10'!$D$5,0))))))),(IF(AND($S$4="Multi",$R$4="FY"),ROUND(((1+$M9)^('W10'!$B$20+1)*'W10'!$D$9+(1+$M9)^('W10'!$B$20+2)*'W10'!$D$10)/12*'R10'!$E9*'R10'!$G9,0),(IF(AND($S$4="Multi",$R$4="PY"),ROUND($E9*$G9*(1+M9)/12*'W10'!$D$5,0),(IF(AND($S$4&lt;&gt;"Multi",$R$4="FY"),ROUND(((1+$S$4)^('W10'!$B$20+1)*'W10'!$D$9+(1+$S$4)^('W10'!$B$20+2)*'W10'!$D$10)/12*'R10'!$E9*'R10'!$G9,0),ROUND($E9*$G9*(1+$S$4)/12*'W10'!$D$5,0))))))))</f>
        <v>0</v>
      </c>
      <c r="P9" s="187">
        <f ca="1">IF('W10'!$C$4='W10'!$D$4,(IF(AND($S$4="Multi",$R$4="FY"),ROUND(((1+$M9)^('W10'!$B$20+1)*'W10'!$E$9+(1+$M9)^('W10'!$B$20+2)*'W10'!$E$10)/12*'R10'!$E9*'R10'!H9,0),(IF(AND($S$4="Multi",$R$4="PY"),ROUND($E9*H9*((1+$M9)^2)/12*'W10'!$E$5,0),(IF(AND($S$4&lt;&gt;"Multi",$R$4="FY"),ROUND(((1+$S$4)^('W10'!$B$20+1)*'W10'!$E$9+(1+$S$4)^('W10'!$B$20+2)*'W10'!$E$10)/12*'R10'!$E9*'R10'!H9,0),ROUND($E9*H9*((1+$S$4)^2)/12*'W10'!$E$5,0))))))),(IF(AND($S$4="Multi",$R$4="FY"),ROUND(((1+$M9)^('W10'!$B$20+2)*'W10'!$E$9+(1+$M9)^('W10'!$B$20+3)*'W10'!$E$10)/12*'R10'!$E9*'R10'!H9,0),(IF(AND($S$4="Multi",$R$4="PY"),ROUND($E9*H9*((1+$M9)^2)/12*'W10'!$E$5,0),(IF(AND($S$4&lt;&gt;"Multi",$R$4="FY"),ROUND(((1+$S$4)^('W10'!$B$20+2)*'W10'!$E$9+(1+$S$4)^('W10'!$B$20+3)*'W10'!$E$10)/12*'R10'!$E9*'R10'!H9,0),ROUND($E9*H9*((1+$S$4)^2)/12*'W10'!$E$5,0))))))))</f>
        <v>0</v>
      </c>
      <c r="Q9" s="187">
        <f ca="1">IF('W10'!$C$4='W10'!$D$4,(IF(AND($S$4="Multi",$R$4="FY"),ROUND(((1+$M9)^('W10'!$B$20+2)*'W10'!$F$9+(1+$M9)^('W10'!$B$20+3)*'W10'!$F$10)/12*'R10'!$E9*'R10'!$I9,0),(IF(AND($S$4="Multi",$R$4="PY"),ROUND($E9*$I9*((1+$M9)^3)/12*'W10'!$F$5,0),(IF(AND($S$4&lt;&gt;"Multi",$R$4="FY"),ROUND(((1+$S$4)^('W10'!$B$20+2)*'W10'!$F$9+(1+$S$4)^('W10'!$B$20+3)*'W10'!$F$10)/12*'R10'!$E9*'R10'!$I9,0),ROUND($E9*$I9*((1+$S$4)^3)/12*'W10'!$F$5,0))))))),(IF(AND($S$4="Multi",$R$4="FY"),ROUND(((1+$M9)^('W10'!$B$20+3)*'W10'!$F$9+(1+$M9)^('W10'!$B$20+4)*'W10'!$F$10)/12*'R10'!$E9*'R10'!$I9,0),(IF(AND($S$4="Multi",$R$4="PY"),ROUND($E9*$I9*((1+$M9)^3)/12*'W10'!$F$5,0),(IF(AND($S$4&lt;&gt;"Multi",$R$4="FY"),ROUND(((1+$S$4)^('W10'!$B$20+3)*'W10'!$F$9+(1+$S$4)^('W10'!$B$20+4)*'W10'!$F$10)/12*'R10'!$E9*'R10'!$I9,0),ROUND($E9*$I9*((1+$S$4)^3)/12*'W10'!$F$5,0))))))))</f>
        <v>0</v>
      </c>
      <c r="R9" s="187">
        <f ca="1">IF('W10'!$C$4='W10'!$D$4,(IF(AND($S$4="Multi",$R$4="FY"),ROUND(((1+$M9)^('W10'!$B$20+3)*'W10'!$G$9+(1+$M9)^('W10'!$B$20+4)*'W10'!$G$10)/12*'R10'!$E9*'R10'!$J9,0),(IF(AND($S$4="Multi",$R$4="PY"),ROUND($E9*$J9*((1+$M9)^4)/12*'W10'!$G$5,0),(IF(AND($S$4&lt;&gt;"Multi",$R$4="FY"),ROUND(((1+$S$4)^('W10'!$B$20+3)*'W10'!$G$9+(1+$S$4)^('W10'!$B$20+4)*'W10'!$G$10)/12*'R10'!$E9*'R10'!$J9,0),ROUND($E9*$J9*((1+$S$4)^4)/12*'W10'!$G$5,0))))))),(IF(AND($S$4="Multi",$R$4="FY"),ROUND(((1+$M9)^('W10'!$B$20+4)*'W10'!$G$9+(1+$M9)^('W10'!$B$20+5)*'W10'!$G$10)/12*'R10'!$E9*'R10'!$J9,0),(IF(AND($S$4="Multi",$R$4="PY"),ROUND($E9*$J9*((1+$M9)^4)/12*'W10'!$G$5,0),(IF(AND($S$4&lt;&gt;"Multi",$R$4="FY"),ROUND(((1+$S$4)^('W10'!$B$20+4)*'W10'!$G$9+(1+$S$4)^('W10'!$B$20+5)*'W10'!$G$10)/12*'R10'!$E9*'R10'!$J9,0),ROUND($E9*$J9*((1+$S$4)^4)/12*'W10'!$G$5,0))))))))</f>
        <v>0</v>
      </c>
      <c r="S9" s="188">
        <f t="shared" ref="S9:S31" ca="1" si="0">SUM(N9:R9)</f>
        <v>0</v>
      </c>
      <c r="T9" s="246"/>
      <c r="U9" s="246"/>
      <c r="V9" s="246"/>
      <c r="W9" s="246"/>
      <c r="X9" s="246"/>
      <c r="Y9" s="247"/>
      <c r="Z9" s="247"/>
      <c r="AA9" s="247"/>
      <c r="AB9" s="247"/>
      <c r="AC9" s="24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x14ac:dyDescent="0.2">
      <c r="A10" s="192">
        <v>3</v>
      </c>
      <c r="B10" s="193"/>
      <c r="C10" s="193"/>
      <c r="D10" s="194"/>
      <c r="E10" s="195"/>
      <c r="F10" s="221"/>
      <c r="G10" s="221"/>
      <c r="H10" s="221"/>
      <c r="I10" s="221"/>
      <c r="J10" s="221"/>
      <c r="K10" s="190" t="s">
        <v>176</v>
      </c>
      <c r="L10" s="190">
        <v>12</v>
      </c>
      <c r="M10" s="191">
        <v>0.03</v>
      </c>
      <c r="N10" s="187">
        <f ca="1">IF(AND($S$4="Multi",$R$4="FY"),ROUND(((1+$M10)^'W10'!$B$20*'W10'!$C$9+(1+$M10)^('W10'!$B$20+1)*'W10'!$C$10)/12*'R10'!$E10*'R10'!$F10,0),(IF(AND($S$4="Multi",$R$4="PY"),ROUND(E10*F10/12*'W10'!$C$5,0),(IF(AND($S$4&lt;&gt;"Multi",$R$4="FY"),ROUND(((1+$S$4)^'W10'!$B$20*'W10'!$C$9+(1+$S$4)^('W10'!$B$20+1)*'W10'!$C$10)/12*'R10'!$E10*'R10'!$F10,0),ROUND($E10*$F10/12*'W10'!$C$5,0))))))</f>
        <v>0</v>
      </c>
      <c r="O10" s="187">
        <f ca="1">IF('W10'!$C$4='W10'!$D$4,(IF(AND($S$4="Multi",$R$4="FY"),ROUND(((1+$M10)^('W10'!$B$20)*'W10'!$D$9+(1+$M10)^('W10'!$B$20+1)*'W10'!$D$10)/12*'R10'!$E10*'R10'!$G10,0),(IF(AND($S$4="Multi",$R$4="PY"),ROUND($E10*$G10*(1+M10)/12*'W10'!$D$5,0),(IF(AND($S$4&lt;&gt;"Multi",$R$4="FY"),ROUND(((1+$S$4)^('W10'!$B$20)*'W10'!$D$9+(1+$S$4)^('W10'!$B$20+1)*'W10'!$D$10)/12*'R10'!$E10*'R10'!$G10,0),ROUND($E10*$G10*(1+$S$4)/12*'W10'!$D$5,0))))))),(IF(AND($S$4="Multi",$R$4="FY"),ROUND(((1+$M10)^('W10'!$B$20+1)*'W10'!$D$9+(1+$M10)^('W10'!$B$20+2)*'W10'!$D$10)/12*'R10'!$E10*'R10'!$G10,0),(IF(AND($S$4="Multi",$R$4="PY"),ROUND($E10*$G10*(1+M10)/12*'W10'!$D$5,0),(IF(AND($S$4&lt;&gt;"Multi",$R$4="FY"),ROUND(((1+$S$4)^('W10'!$B$20+1)*'W10'!$D$9+(1+$S$4)^('W10'!$B$20+2)*'W10'!$D$10)/12*'R10'!$E10*'R10'!$G10,0),ROUND($E10*$G10*(1+$S$4)/12*'W10'!$D$5,0))))))))</f>
        <v>0</v>
      </c>
      <c r="P10" s="187">
        <f ca="1">IF('W10'!$C$4='W10'!$D$4,(IF(AND($S$4="Multi",$R$4="FY"),ROUND(((1+$M10)^('W10'!$B$20+1)*'W10'!$E$9+(1+$M10)^('W10'!$B$20+2)*'W10'!$E$10)/12*'R10'!$E10*'R10'!H10,0),(IF(AND($S$4="Multi",$R$4="PY"),ROUND($E10*H10*((1+$M10)^2)/12*'W10'!$E$5,0),(IF(AND($S$4&lt;&gt;"Multi",$R$4="FY"),ROUND(((1+$S$4)^('W10'!$B$20+1)*'W10'!$E$9+(1+$S$4)^('W10'!$B$20+2)*'W10'!$E$10)/12*'R10'!$E10*'R10'!H10,0),ROUND($E10*H10*((1+$S$4)^2)/12*'W10'!$E$5,0))))))),(IF(AND($S$4="Multi",$R$4="FY"),ROUND(((1+$M10)^('W10'!$B$20+2)*'W10'!$E$9+(1+$M10)^('W10'!$B$20+3)*'W10'!$E$10)/12*'R10'!$E10*'R10'!H10,0),(IF(AND($S$4="Multi",$R$4="PY"),ROUND($E10*H10*((1+$M10)^2)/12*'W10'!$E$5,0),(IF(AND($S$4&lt;&gt;"Multi",$R$4="FY"),ROUND(((1+$S$4)^('W10'!$B$20+2)*'W10'!$E$9+(1+$S$4)^('W10'!$B$20+3)*'W10'!$E$10)/12*'R10'!$E10*'R10'!H10,0),ROUND($E10*H10*((1+$S$4)^2)/12*'W10'!$E$5,0))))))))</f>
        <v>0</v>
      </c>
      <c r="Q10" s="187">
        <f ca="1">IF('W10'!$C$4='W10'!$D$4,(IF(AND($S$4="Multi",$R$4="FY"),ROUND(((1+$M10)^('W10'!$B$20+2)*'W10'!$F$9+(1+$M10)^('W10'!$B$20+3)*'W10'!$F$10)/12*'R10'!$E10*'R10'!$I10,0),(IF(AND($S$4="Multi",$R$4="PY"),ROUND($E10*$I10*((1+$M10)^3)/12*'W10'!$F$5,0),(IF(AND($S$4&lt;&gt;"Multi",$R$4="FY"),ROUND(((1+$S$4)^('W10'!$B$20+2)*'W10'!$F$9+(1+$S$4)^('W10'!$B$20+3)*'W10'!$F$10)/12*'R10'!$E10*'R10'!$I10,0),ROUND($E10*$I10*((1+$S$4)^3)/12*'W10'!$F$5,0))))))),(IF(AND($S$4="Multi",$R$4="FY"),ROUND(((1+$M10)^('W10'!$B$20+3)*'W10'!$F$9+(1+$M10)^('W10'!$B$20+4)*'W10'!$F$10)/12*'R10'!$E10*'R10'!$I10,0),(IF(AND($S$4="Multi",$R$4="PY"),ROUND($E10*$I10*((1+$M10)^3)/12*'W10'!$F$5,0),(IF(AND($S$4&lt;&gt;"Multi",$R$4="FY"),ROUND(((1+$S$4)^('W10'!$B$20+3)*'W10'!$F$9+(1+$S$4)^('W10'!$B$20+4)*'W10'!$F$10)/12*'R10'!$E10*'R10'!$I10,0),ROUND($E10*$I10*((1+$S$4)^3)/12*'W10'!$F$5,0))))))))</f>
        <v>0</v>
      </c>
      <c r="R10" s="187">
        <f ca="1">IF('W10'!$C$4='W10'!$D$4,(IF(AND($S$4="Multi",$R$4="FY"),ROUND(((1+$M10)^('W10'!$B$20+3)*'W10'!$G$9+(1+$M10)^('W10'!$B$20+4)*'W10'!$G$10)/12*'R10'!$E10*'R10'!$J10,0),(IF(AND($S$4="Multi",$R$4="PY"),ROUND($E10*$J10*((1+$M10)^4)/12*'W10'!$G$5,0),(IF(AND($S$4&lt;&gt;"Multi",$R$4="FY"),ROUND(((1+$S$4)^('W10'!$B$20+3)*'W10'!$G$9+(1+$S$4)^('W10'!$B$20+4)*'W10'!$G$10)/12*'R10'!$E10*'R10'!$J10,0),ROUND($E10*$J10*((1+$S$4)^4)/12*'W10'!$G$5,0))))))),(IF(AND($S$4="Multi",$R$4="FY"),ROUND(((1+$M10)^('W10'!$B$20+4)*'W10'!$G$9+(1+$M10)^('W10'!$B$20+5)*'W10'!$G$10)/12*'R10'!$E10*'R10'!$J10,0),(IF(AND($S$4="Multi",$R$4="PY"),ROUND($E10*$J10*((1+$M10)^4)/12*'W10'!$G$5,0),(IF(AND($S$4&lt;&gt;"Multi",$R$4="FY"),ROUND(((1+$S$4)^('W10'!$B$20+4)*'W10'!$G$9+(1+$S$4)^('W10'!$B$20+5)*'W10'!$G$10)/12*'R10'!$E10*'R10'!$J10,0),ROUND($E10*$J10*((1+$S$4)^4)/12*'W10'!$G$5,0))))))))</f>
        <v>0</v>
      </c>
      <c r="S10" s="188">
        <f t="shared" ca="1" si="0"/>
        <v>0</v>
      </c>
      <c r="T10" s="246"/>
      <c r="U10" s="246"/>
      <c r="V10" s="246"/>
      <c r="W10" s="246"/>
      <c r="X10" s="246"/>
      <c r="Y10" s="247"/>
      <c r="Z10" s="247"/>
      <c r="AA10" s="247"/>
      <c r="AB10" s="247"/>
      <c r="AC10" s="24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x14ac:dyDescent="0.2">
      <c r="A11" s="192">
        <v>4</v>
      </c>
      <c r="B11" s="193"/>
      <c r="C11" s="193"/>
      <c r="D11" s="194"/>
      <c r="E11" s="195"/>
      <c r="F11" s="221"/>
      <c r="G11" s="221"/>
      <c r="H11" s="221"/>
      <c r="I11" s="221"/>
      <c r="J11" s="221"/>
      <c r="K11" s="190" t="s">
        <v>176</v>
      </c>
      <c r="L11" s="190">
        <v>12</v>
      </c>
      <c r="M11" s="191">
        <v>0.03</v>
      </c>
      <c r="N11" s="187">
        <f ca="1">IF(AND($S$4="Multi",$R$4="FY"),ROUND(((1+$M11)^'W10'!$B$20*'W10'!$C$9+(1+$M11)^('W10'!$B$20+1)*'W10'!$C$10)/12*'R10'!$E11*'R10'!$F11,0),(IF(AND($S$4="Multi",$R$4="PY"),ROUND(E11*F11/12*'W10'!$C$5,0),(IF(AND($S$4&lt;&gt;"Multi",$R$4="FY"),ROUND(((1+$S$4)^'W10'!$B$20*'W10'!$C$9+(1+$S$4)^('W10'!$B$20+1)*'W10'!$C$10)/12*'R10'!$E11*'R10'!$F11,0),ROUND($E11*$F11/12*'W10'!$C$5,0))))))</f>
        <v>0</v>
      </c>
      <c r="O11" s="187">
        <f ca="1">IF('W10'!$C$4='W10'!$D$4,(IF(AND($S$4="Multi",$R$4="FY"),ROUND(((1+$M11)^('W10'!$B$20)*'W10'!$D$9+(1+$M11)^('W10'!$B$20+1)*'W10'!$D$10)/12*'R10'!$E11*'R10'!$G11,0),(IF(AND($S$4="Multi",$R$4="PY"),ROUND($E11*$G11*(1+M11)/12*'W10'!$D$5,0),(IF(AND($S$4&lt;&gt;"Multi",$R$4="FY"),ROUND(((1+$S$4)^('W10'!$B$20)*'W10'!$D$9+(1+$S$4)^('W10'!$B$20+1)*'W10'!$D$10)/12*'R10'!$E11*'R10'!$G11,0),ROUND($E11*$G11*(1+$S$4)/12*'W10'!$D$5,0))))))),(IF(AND($S$4="Multi",$R$4="FY"),ROUND(((1+$M11)^('W10'!$B$20+1)*'W10'!$D$9+(1+$M11)^('W10'!$B$20+2)*'W10'!$D$10)/12*'R10'!$E11*'R10'!$G11,0),(IF(AND($S$4="Multi",$R$4="PY"),ROUND($E11*$G11*(1+M11)/12*'W10'!$D$5,0),(IF(AND($S$4&lt;&gt;"Multi",$R$4="FY"),ROUND(((1+$S$4)^('W10'!$B$20+1)*'W10'!$D$9+(1+$S$4)^('W10'!$B$20+2)*'W10'!$D$10)/12*'R10'!$E11*'R10'!$G11,0),ROUND($E11*$G11*(1+$S$4)/12*'W10'!$D$5,0))))))))</f>
        <v>0</v>
      </c>
      <c r="P11" s="187">
        <f ca="1">IF('W10'!$C$4='W10'!$D$4,(IF(AND($S$4="Multi",$R$4="FY"),ROUND(((1+$M11)^('W10'!$B$20+1)*'W10'!$E$9+(1+$M11)^('W10'!$B$20+2)*'W10'!$E$10)/12*'R10'!$E11*'R10'!H11,0),(IF(AND($S$4="Multi",$R$4="PY"),ROUND($E11*H11*((1+$M11)^2)/12*'W10'!$E$5,0),(IF(AND($S$4&lt;&gt;"Multi",$R$4="FY"),ROUND(((1+$S$4)^('W10'!$B$20+1)*'W10'!$E$9+(1+$S$4)^('W10'!$B$20+2)*'W10'!$E$10)/12*'R10'!$E11*'R10'!H11,0),ROUND($E11*H11*((1+$S$4)^2)/12*'W10'!$E$5,0))))))),(IF(AND($S$4="Multi",$R$4="FY"),ROUND(((1+$M11)^('W10'!$B$20+2)*'W10'!$E$9+(1+$M11)^('W10'!$B$20+3)*'W10'!$E$10)/12*'R10'!$E11*'R10'!H11,0),(IF(AND($S$4="Multi",$R$4="PY"),ROUND($E11*H11*((1+$M11)^2)/12*'W10'!$E$5,0),(IF(AND($S$4&lt;&gt;"Multi",$R$4="FY"),ROUND(((1+$S$4)^('W10'!$B$20+2)*'W10'!$E$9+(1+$S$4)^('W10'!$B$20+3)*'W10'!$E$10)/12*'R10'!$E11*'R10'!H11,0),ROUND($E11*H11*((1+$S$4)^2)/12*'W10'!$E$5,0))))))))</f>
        <v>0</v>
      </c>
      <c r="Q11" s="187">
        <f ca="1">IF('W10'!$C$4='W10'!$D$4,(IF(AND($S$4="Multi",$R$4="FY"),ROUND(((1+$M11)^('W10'!$B$20+2)*'W10'!$F$9+(1+$M11)^('W10'!$B$20+3)*'W10'!$F$10)/12*'R10'!$E11*'R10'!$I11,0),(IF(AND($S$4="Multi",$R$4="PY"),ROUND($E11*$I11*((1+$M11)^3)/12*'W10'!$F$5,0),(IF(AND($S$4&lt;&gt;"Multi",$R$4="FY"),ROUND(((1+$S$4)^('W10'!$B$20+2)*'W10'!$F$9+(1+$S$4)^('W10'!$B$20+3)*'W10'!$F$10)/12*'R10'!$E11*'R10'!$I11,0),ROUND($E11*$I11*((1+$S$4)^3)/12*'W10'!$F$5,0))))))),(IF(AND($S$4="Multi",$R$4="FY"),ROUND(((1+$M11)^('W10'!$B$20+3)*'W10'!$F$9+(1+$M11)^('W10'!$B$20+4)*'W10'!$F$10)/12*'R10'!$E11*'R10'!$I11,0),(IF(AND($S$4="Multi",$R$4="PY"),ROUND($E11*$I11*((1+$M11)^3)/12*'W10'!$F$5,0),(IF(AND($S$4&lt;&gt;"Multi",$R$4="FY"),ROUND(((1+$S$4)^('W10'!$B$20+3)*'W10'!$F$9+(1+$S$4)^('W10'!$B$20+4)*'W10'!$F$10)/12*'R10'!$E11*'R10'!$I11,0),ROUND($E11*$I11*((1+$S$4)^3)/12*'W10'!$F$5,0))))))))</f>
        <v>0</v>
      </c>
      <c r="R11" s="187">
        <f ca="1">IF('W10'!$C$4='W10'!$D$4,(IF(AND($S$4="Multi",$R$4="FY"),ROUND(((1+$M11)^('W10'!$B$20+3)*'W10'!$G$9+(1+$M11)^('W10'!$B$20+4)*'W10'!$G$10)/12*'R10'!$E11*'R10'!$J11,0),(IF(AND($S$4="Multi",$R$4="PY"),ROUND($E11*$J11*((1+$M11)^4)/12*'W10'!$G$5,0),(IF(AND($S$4&lt;&gt;"Multi",$R$4="FY"),ROUND(((1+$S$4)^('W10'!$B$20+3)*'W10'!$G$9+(1+$S$4)^('W10'!$B$20+4)*'W10'!$G$10)/12*'R10'!$E11*'R10'!$J11,0),ROUND($E11*$J11*((1+$S$4)^4)/12*'W10'!$G$5,0))))))),(IF(AND($S$4="Multi",$R$4="FY"),ROUND(((1+$M11)^('W10'!$B$20+4)*'W10'!$G$9+(1+$M11)^('W10'!$B$20+5)*'W10'!$G$10)/12*'R10'!$E11*'R10'!$J11,0),(IF(AND($S$4="Multi",$R$4="PY"),ROUND($E11*$J11*((1+$M11)^4)/12*'W10'!$G$5,0),(IF(AND($S$4&lt;&gt;"Multi",$R$4="FY"),ROUND(((1+$S$4)^('W10'!$B$20+4)*'W10'!$G$9+(1+$S$4)^('W10'!$B$20+5)*'W10'!$G$10)/12*'R10'!$E11*'R10'!$J11,0),ROUND($E11*$J11*((1+$S$4)^4)/12*'W10'!$G$5,0))))))))</f>
        <v>0</v>
      </c>
      <c r="S11" s="188">
        <f t="shared" ca="1" si="0"/>
        <v>0</v>
      </c>
      <c r="T11" s="246"/>
      <c r="U11" s="246"/>
      <c r="V11" s="246"/>
      <c r="W11" s="246"/>
      <c r="X11" s="246"/>
      <c r="Y11" s="247"/>
      <c r="Z11" s="247"/>
      <c r="AA11" s="247"/>
      <c r="AB11" s="247"/>
      <c r="AC11" s="24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x14ac:dyDescent="0.2">
      <c r="A12" s="192">
        <v>5</v>
      </c>
      <c r="B12" s="193"/>
      <c r="C12" s="193"/>
      <c r="D12" s="194"/>
      <c r="E12" s="195"/>
      <c r="F12" s="221"/>
      <c r="G12" s="221"/>
      <c r="H12" s="221"/>
      <c r="I12" s="221"/>
      <c r="J12" s="221"/>
      <c r="K12" s="190" t="s">
        <v>176</v>
      </c>
      <c r="L12" s="190">
        <v>12</v>
      </c>
      <c r="M12" s="191">
        <v>0.03</v>
      </c>
      <c r="N12" s="187">
        <f ca="1">IF(AND($S$4="Multi",$R$4="FY"),ROUND(((1+$M12)^'W10'!$B$20*'W10'!$C$9+(1+$M12)^('W10'!$B$20+1)*'W10'!$C$10)/12*'R10'!$E12*'R10'!$F12,0),(IF(AND($S$4="Multi",$R$4="PY"),ROUND(E12*F12/12*'W10'!$C$5,0),(IF(AND($S$4&lt;&gt;"Multi",$R$4="FY"),ROUND(((1+$S$4)^'W10'!$B$20*'W10'!$C$9+(1+$S$4)^('W10'!$B$20+1)*'W10'!$C$10)/12*'R10'!$E12*'R10'!$F12,0),ROUND($E12*$F12/12*'W10'!$C$5,0))))))</f>
        <v>0</v>
      </c>
      <c r="O12" s="187">
        <f ca="1">IF('W10'!$C$4='W10'!$D$4,(IF(AND($S$4="Multi",$R$4="FY"),ROUND(((1+$M12)^('W10'!$B$20)*'W10'!$D$9+(1+$M12)^('W10'!$B$20+1)*'W10'!$D$10)/12*'R10'!$E12*'R10'!$G12,0),(IF(AND($S$4="Multi",$R$4="PY"),ROUND($E12*$G12*(1+M12)/12*'W10'!$D$5,0),(IF(AND($S$4&lt;&gt;"Multi",$R$4="FY"),ROUND(((1+$S$4)^('W10'!$B$20)*'W10'!$D$9+(1+$S$4)^('W10'!$B$20+1)*'W10'!$D$10)/12*'R10'!$E12*'R10'!$G12,0),ROUND($E12*$G12*(1+$S$4)/12*'W10'!$D$5,0))))))),(IF(AND($S$4="Multi",$R$4="FY"),ROUND(((1+$M12)^('W10'!$B$20+1)*'W10'!$D$9+(1+$M12)^('W10'!$B$20+2)*'W10'!$D$10)/12*'R10'!$E12*'R10'!$G12,0),(IF(AND($S$4="Multi",$R$4="PY"),ROUND($E12*$G12*(1+M12)/12*'W10'!$D$5,0),(IF(AND($S$4&lt;&gt;"Multi",$R$4="FY"),ROUND(((1+$S$4)^('W10'!$B$20+1)*'W10'!$D$9+(1+$S$4)^('W10'!$B$20+2)*'W10'!$D$10)/12*'R10'!$E12*'R10'!$G12,0),ROUND($E12*$G12*(1+$S$4)/12*'W10'!$D$5,0))))))))</f>
        <v>0</v>
      </c>
      <c r="P12" s="187">
        <f ca="1">IF('W10'!$C$4='W10'!$D$4,(IF(AND($S$4="Multi",$R$4="FY"),ROUND(((1+$M12)^('W10'!$B$20+1)*'W10'!$E$9+(1+$M12)^('W10'!$B$20+2)*'W10'!$E$10)/12*'R10'!$E12*'R10'!H12,0),(IF(AND($S$4="Multi",$R$4="PY"),ROUND($E12*H12*((1+$M12)^2)/12*'W10'!$E$5,0),(IF(AND($S$4&lt;&gt;"Multi",$R$4="FY"),ROUND(((1+$S$4)^('W10'!$B$20+1)*'W10'!$E$9+(1+$S$4)^('W10'!$B$20+2)*'W10'!$E$10)/12*'R10'!$E12*'R10'!H12,0),ROUND($E12*H12*((1+$S$4)^2)/12*'W10'!$E$5,0))))))),(IF(AND($S$4="Multi",$R$4="FY"),ROUND(((1+$M12)^('W10'!$B$20+2)*'W10'!$E$9+(1+$M12)^('W10'!$B$20+3)*'W10'!$E$10)/12*'R10'!$E12*'R10'!H12,0),(IF(AND($S$4="Multi",$R$4="PY"),ROUND($E12*H12*((1+$M12)^2)/12*'W10'!$E$5,0),(IF(AND($S$4&lt;&gt;"Multi",$R$4="FY"),ROUND(((1+$S$4)^('W10'!$B$20+2)*'W10'!$E$9+(1+$S$4)^('W10'!$B$20+3)*'W10'!$E$10)/12*'R10'!$E12*'R10'!H12,0),ROUND($E12*H12*((1+$S$4)^2)/12*'W10'!$E$5,0))))))))</f>
        <v>0</v>
      </c>
      <c r="Q12" s="187">
        <f ca="1">IF('W10'!$C$4='W10'!$D$4,(IF(AND($S$4="Multi",$R$4="FY"),ROUND(((1+$M12)^('W10'!$B$20+2)*'W10'!$F$9+(1+$M12)^('W10'!$B$20+3)*'W10'!$F$10)/12*'R10'!$E12*'R10'!$I12,0),(IF(AND($S$4="Multi",$R$4="PY"),ROUND($E12*$I12*((1+$M12)^3)/12*'W10'!$F$5,0),(IF(AND($S$4&lt;&gt;"Multi",$R$4="FY"),ROUND(((1+$S$4)^('W10'!$B$20+2)*'W10'!$F$9+(1+$S$4)^('W10'!$B$20+3)*'W10'!$F$10)/12*'R10'!$E12*'R10'!$I12,0),ROUND($E12*$I12*((1+$S$4)^3)/12*'W10'!$F$5,0))))))),(IF(AND($S$4="Multi",$R$4="FY"),ROUND(((1+$M12)^('W10'!$B$20+3)*'W10'!$F$9+(1+$M12)^('W10'!$B$20+4)*'W10'!$F$10)/12*'R10'!$E12*'R10'!$I12,0),(IF(AND($S$4="Multi",$R$4="PY"),ROUND($E12*$I12*((1+$M12)^3)/12*'W10'!$F$5,0),(IF(AND($S$4&lt;&gt;"Multi",$R$4="FY"),ROUND(((1+$S$4)^('W10'!$B$20+3)*'W10'!$F$9+(1+$S$4)^('W10'!$B$20+4)*'W10'!$F$10)/12*'R10'!$E12*'R10'!$I12,0),ROUND($E12*$I12*((1+$S$4)^3)/12*'W10'!$F$5,0))))))))</f>
        <v>0</v>
      </c>
      <c r="R12" s="187">
        <f ca="1">IF('W10'!$C$4='W10'!$D$4,(IF(AND($S$4="Multi",$R$4="FY"),ROUND(((1+$M12)^('W10'!$B$20+3)*'W10'!$G$9+(1+$M12)^('W10'!$B$20+4)*'W10'!$G$10)/12*'R10'!$E12*'R10'!$J12,0),(IF(AND($S$4="Multi",$R$4="PY"),ROUND($E12*$J12*((1+$M12)^4)/12*'W10'!$G$5,0),(IF(AND($S$4&lt;&gt;"Multi",$R$4="FY"),ROUND(((1+$S$4)^('W10'!$B$20+3)*'W10'!$G$9+(1+$S$4)^('W10'!$B$20+4)*'W10'!$G$10)/12*'R10'!$E12*'R10'!$J12,0),ROUND($E12*$J12*((1+$S$4)^4)/12*'W10'!$G$5,0))))))),(IF(AND($S$4="Multi",$R$4="FY"),ROUND(((1+$M12)^('W10'!$B$20+4)*'W10'!$G$9+(1+$M12)^('W10'!$B$20+5)*'W10'!$G$10)/12*'R10'!$E12*'R10'!$J12,0),(IF(AND($S$4="Multi",$R$4="PY"),ROUND($E12*$J12*((1+$M12)^4)/12*'W10'!$G$5,0),(IF(AND($S$4&lt;&gt;"Multi",$R$4="FY"),ROUND(((1+$S$4)^('W10'!$B$20+4)*'W10'!$G$9+(1+$S$4)^('W10'!$B$20+5)*'W10'!$G$10)/12*'R10'!$E12*'R10'!$J12,0),ROUND($E12*$J12*((1+$S$4)^4)/12*'W10'!$G$5,0))))))))</f>
        <v>0</v>
      </c>
      <c r="S12" s="188">
        <f t="shared" ca="1" si="0"/>
        <v>0</v>
      </c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x14ac:dyDescent="0.2">
      <c r="A13" s="192">
        <v>6</v>
      </c>
      <c r="B13" s="193"/>
      <c r="C13" s="193"/>
      <c r="D13" s="194"/>
      <c r="E13" s="195"/>
      <c r="F13" s="221"/>
      <c r="G13" s="221"/>
      <c r="H13" s="221"/>
      <c r="I13" s="221"/>
      <c r="J13" s="221"/>
      <c r="K13" s="190" t="s">
        <v>176</v>
      </c>
      <c r="L13" s="190">
        <v>12</v>
      </c>
      <c r="M13" s="191">
        <v>0.03</v>
      </c>
      <c r="N13" s="187">
        <f ca="1">IF(AND($S$4="Multi",$R$4="FY"),ROUND(((1+$M13)^'W10'!$B$20*'W10'!$C$9+(1+$M13)^('W10'!$B$20+1)*'W10'!$C$10)/12*'R10'!$E13*'R10'!$F13,0),(IF(AND($S$4="Multi",$R$4="PY"),ROUND(E13*F13/12*'W10'!$C$5,0),(IF(AND($S$4&lt;&gt;"Multi",$R$4="FY"),ROUND(((1+$S$4)^'W10'!$B$20*'W10'!$C$9+(1+$S$4)^('W10'!$B$20+1)*'W10'!$C$10)/12*'R10'!$E13*'R10'!$F13,0),ROUND($E13*$F13/12*'W10'!$C$5,0))))))</f>
        <v>0</v>
      </c>
      <c r="O13" s="187">
        <f ca="1">IF('W10'!$C$4='W10'!$D$4,(IF(AND($S$4="Multi",$R$4="FY"),ROUND(((1+$M13)^('W10'!$B$20)*'W10'!$D$9+(1+$M13)^('W10'!$B$20+1)*'W10'!$D$10)/12*'R10'!$E13*'R10'!$G13,0),(IF(AND($S$4="Multi",$R$4="PY"),ROUND($E13*$G13*(1+M13)/12*'W10'!$D$5,0),(IF(AND($S$4&lt;&gt;"Multi",$R$4="FY"),ROUND(((1+$S$4)^('W10'!$B$20)*'W10'!$D$9+(1+$S$4)^('W10'!$B$20+1)*'W10'!$D$10)/12*'R10'!$E13*'R10'!$G13,0),ROUND($E13*$G13*(1+$S$4)/12*'W10'!$D$5,0))))))),(IF(AND($S$4="Multi",$R$4="FY"),ROUND(((1+$M13)^('W10'!$B$20+1)*'W10'!$D$9+(1+$M13)^('W10'!$B$20+2)*'W10'!$D$10)/12*'R10'!$E13*'R10'!$G13,0),(IF(AND($S$4="Multi",$R$4="PY"),ROUND($E13*$G13*(1+M13)/12*'W10'!$D$5,0),(IF(AND($S$4&lt;&gt;"Multi",$R$4="FY"),ROUND(((1+$S$4)^('W10'!$B$20+1)*'W10'!$D$9+(1+$S$4)^('W10'!$B$20+2)*'W10'!$D$10)/12*'R10'!$E13*'R10'!$G13,0),ROUND($E13*$G13*(1+$S$4)/12*'W10'!$D$5,0))))))))</f>
        <v>0</v>
      </c>
      <c r="P13" s="187">
        <f ca="1">IF('W10'!$C$4='W10'!$D$4,(IF(AND($S$4="Multi",$R$4="FY"),ROUND(((1+$M13)^('W10'!$B$20+1)*'W10'!$E$9+(1+$M13)^('W10'!$B$20+2)*'W10'!$E$10)/12*'R10'!$E13*'R10'!H13,0),(IF(AND($S$4="Multi",$R$4="PY"),ROUND($E13*H13*((1+$M13)^2)/12*'W10'!$E$5,0),(IF(AND($S$4&lt;&gt;"Multi",$R$4="FY"),ROUND(((1+$S$4)^('W10'!$B$20+1)*'W10'!$E$9+(1+$S$4)^('W10'!$B$20+2)*'W10'!$E$10)/12*'R10'!$E13*'R10'!H13,0),ROUND($E13*H13*((1+$S$4)^2)/12*'W10'!$E$5,0))))))),(IF(AND($S$4="Multi",$R$4="FY"),ROUND(((1+$M13)^('W10'!$B$20+2)*'W10'!$E$9+(1+$M13)^('W10'!$B$20+3)*'W10'!$E$10)/12*'R10'!$E13*'R10'!H13,0),(IF(AND($S$4="Multi",$R$4="PY"),ROUND($E13*H13*((1+$M13)^2)/12*'W10'!$E$5,0),(IF(AND($S$4&lt;&gt;"Multi",$R$4="FY"),ROUND(((1+$S$4)^('W10'!$B$20+2)*'W10'!$E$9+(1+$S$4)^('W10'!$B$20+3)*'W10'!$E$10)/12*'R10'!$E13*'R10'!H13,0),ROUND($E13*H13*((1+$S$4)^2)/12*'W10'!$E$5,0))))))))</f>
        <v>0</v>
      </c>
      <c r="Q13" s="187">
        <f ca="1">IF('W10'!$C$4='W10'!$D$4,(IF(AND($S$4="Multi",$R$4="FY"),ROUND(((1+$M13)^('W10'!$B$20+2)*'W10'!$F$9+(1+$M13)^('W10'!$B$20+3)*'W10'!$F$10)/12*'R10'!$E13*'R10'!$I13,0),(IF(AND($S$4="Multi",$R$4="PY"),ROUND($E13*$I13*((1+$M13)^3)/12*'W10'!$F$5,0),(IF(AND($S$4&lt;&gt;"Multi",$R$4="FY"),ROUND(((1+$S$4)^('W10'!$B$20+2)*'W10'!$F$9+(1+$S$4)^('W10'!$B$20+3)*'W10'!$F$10)/12*'R10'!$E13*'R10'!$I13,0),ROUND($E13*$I13*((1+$S$4)^3)/12*'W10'!$F$5,0))))))),(IF(AND($S$4="Multi",$R$4="FY"),ROUND(((1+$M13)^('W10'!$B$20+3)*'W10'!$F$9+(1+$M13)^('W10'!$B$20+4)*'W10'!$F$10)/12*'R10'!$E13*'R10'!$I13,0),(IF(AND($S$4="Multi",$R$4="PY"),ROUND($E13*$I13*((1+$M13)^3)/12*'W10'!$F$5,0),(IF(AND($S$4&lt;&gt;"Multi",$R$4="FY"),ROUND(((1+$S$4)^('W10'!$B$20+3)*'W10'!$F$9+(1+$S$4)^('W10'!$B$20+4)*'W10'!$F$10)/12*'R10'!$E13*'R10'!$I13,0),ROUND($E13*$I13*((1+$S$4)^3)/12*'W10'!$F$5,0))))))))</f>
        <v>0</v>
      </c>
      <c r="R13" s="187">
        <f ca="1">IF('W10'!$C$4='W10'!$D$4,(IF(AND($S$4="Multi",$R$4="FY"),ROUND(((1+$M13)^('W10'!$B$20+3)*'W10'!$G$9+(1+$M13)^('W10'!$B$20+4)*'W10'!$G$10)/12*'R10'!$E13*'R10'!$J13,0),(IF(AND($S$4="Multi",$R$4="PY"),ROUND($E13*$J13*((1+$M13)^4)/12*'W10'!$G$5,0),(IF(AND($S$4&lt;&gt;"Multi",$R$4="FY"),ROUND(((1+$S$4)^('W10'!$B$20+3)*'W10'!$G$9+(1+$S$4)^('W10'!$B$20+4)*'W10'!$G$10)/12*'R10'!$E13*'R10'!$J13,0),ROUND($E13*$J13*((1+$S$4)^4)/12*'W10'!$G$5,0))))))),(IF(AND($S$4="Multi",$R$4="FY"),ROUND(((1+$M13)^('W10'!$B$20+4)*'W10'!$G$9+(1+$M13)^('W10'!$B$20+5)*'W10'!$G$10)/12*'R10'!$E13*'R10'!$J13,0),(IF(AND($S$4="Multi",$R$4="PY"),ROUND($E13*$J13*((1+$M13)^4)/12*'W10'!$G$5,0),(IF(AND($S$4&lt;&gt;"Multi",$R$4="FY"),ROUND(((1+$S$4)^('W10'!$B$20+4)*'W10'!$G$9+(1+$S$4)^('W10'!$B$20+5)*'W10'!$G$10)/12*'R10'!$E13*'R10'!$J13,0),ROUND($E13*$J13*((1+$S$4)^4)/12*'W10'!$G$5,0))))))))</f>
        <v>0</v>
      </c>
      <c r="S13" s="188">
        <f t="shared" ca="1" si="0"/>
        <v>0</v>
      </c>
      <c r="T13" s="246"/>
      <c r="U13" s="246"/>
      <c r="V13" s="246"/>
      <c r="W13" s="246"/>
      <c r="X13" s="246"/>
      <c r="Y13" s="247"/>
      <c r="Z13" s="247"/>
      <c r="AA13" s="247"/>
      <c r="AB13" s="247"/>
      <c r="AC13" s="24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x14ac:dyDescent="0.2">
      <c r="A14" s="192">
        <v>7</v>
      </c>
      <c r="B14" s="193"/>
      <c r="C14" s="193"/>
      <c r="D14" s="194"/>
      <c r="E14" s="195"/>
      <c r="F14" s="221"/>
      <c r="G14" s="221"/>
      <c r="H14" s="221"/>
      <c r="I14" s="221"/>
      <c r="J14" s="221"/>
      <c r="K14" s="190" t="s">
        <v>176</v>
      </c>
      <c r="L14" s="190">
        <v>12</v>
      </c>
      <c r="M14" s="191">
        <v>0.03</v>
      </c>
      <c r="N14" s="187">
        <f ca="1">IF(AND($S$4="Multi",$R$4="FY"),ROUND(((1+$M14)^'W10'!$B$20*'W10'!$C$9+(1+$M14)^('W10'!$B$20+1)*'W10'!$C$10)/12*'R10'!$E14*'R10'!$F14,0),(IF(AND($S$4="Multi",$R$4="PY"),ROUND(E14*F14/12*'W10'!$C$5,0),(IF(AND($S$4&lt;&gt;"Multi",$R$4="FY"),ROUND(((1+$S$4)^'W10'!$B$20*'W10'!$C$9+(1+$S$4)^('W10'!$B$20+1)*'W10'!$C$10)/12*'R10'!$E14*'R10'!$F14,0),ROUND($E14*$F14/12*'W10'!$C$5,0))))))</f>
        <v>0</v>
      </c>
      <c r="O14" s="187">
        <f ca="1">IF('W10'!$C$4='W10'!$D$4,(IF(AND($S$4="Multi",$R$4="FY"),ROUND(((1+$M14)^('W10'!$B$20)*'W10'!$D$9+(1+$M14)^('W10'!$B$20+1)*'W10'!$D$10)/12*'R10'!$E14*'R10'!$G14,0),(IF(AND($S$4="Multi",$R$4="PY"),ROUND($E14*$G14*(1+M14)/12*'W10'!$D$5,0),(IF(AND($S$4&lt;&gt;"Multi",$R$4="FY"),ROUND(((1+$S$4)^('W10'!$B$20)*'W10'!$D$9+(1+$S$4)^('W10'!$B$20+1)*'W10'!$D$10)/12*'R10'!$E14*'R10'!$G14,0),ROUND($E14*$G14*(1+$S$4)/12*'W10'!$D$5,0))))))),(IF(AND($S$4="Multi",$R$4="FY"),ROUND(((1+$M14)^('W10'!$B$20+1)*'W10'!$D$9+(1+$M14)^('W10'!$B$20+2)*'W10'!$D$10)/12*'R10'!$E14*'R10'!$G14,0),(IF(AND($S$4="Multi",$R$4="PY"),ROUND($E14*$G14*(1+M14)/12*'W10'!$D$5,0),(IF(AND($S$4&lt;&gt;"Multi",$R$4="FY"),ROUND(((1+$S$4)^('W10'!$B$20+1)*'W10'!$D$9+(1+$S$4)^('W10'!$B$20+2)*'W10'!$D$10)/12*'R10'!$E14*'R10'!$G14,0),ROUND($E14*$G14*(1+$S$4)/12*'W10'!$D$5,0))))))))</f>
        <v>0</v>
      </c>
      <c r="P14" s="187">
        <f ca="1">IF('W10'!$C$4='W10'!$D$4,(IF(AND($S$4="Multi",$R$4="FY"),ROUND(((1+$M14)^('W10'!$B$20+1)*'W10'!$E$9+(1+$M14)^('W10'!$B$20+2)*'W10'!$E$10)/12*'R10'!$E14*'R10'!H14,0),(IF(AND($S$4="Multi",$R$4="PY"),ROUND($E14*H14*((1+$M14)^2)/12*'W10'!$E$5,0),(IF(AND($S$4&lt;&gt;"Multi",$R$4="FY"),ROUND(((1+$S$4)^('W10'!$B$20+1)*'W10'!$E$9+(1+$S$4)^('W10'!$B$20+2)*'W10'!$E$10)/12*'R10'!$E14*'R10'!H14,0),ROUND($E14*H14*((1+$S$4)^2)/12*'W10'!$E$5,0))))))),(IF(AND($S$4="Multi",$R$4="FY"),ROUND(((1+$M14)^('W10'!$B$20+2)*'W10'!$E$9+(1+$M14)^('W10'!$B$20+3)*'W10'!$E$10)/12*'R10'!$E14*'R10'!H14,0),(IF(AND($S$4="Multi",$R$4="PY"),ROUND($E14*H14*((1+$M14)^2)/12*'W10'!$E$5,0),(IF(AND($S$4&lt;&gt;"Multi",$R$4="FY"),ROUND(((1+$S$4)^('W10'!$B$20+2)*'W10'!$E$9+(1+$S$4)^('W10'!$B$20+3)*'W10'!$E$10)/12*'R10'!$E14*'R10'!H14,0),ROUND($E14*H14*((1+$S$4)^2)/12*'W10'!$E$5,0))))))))</f>
        <v>0</v>
      </c>
      <c r="Q14" s="187">
        <f ca="1">IF('W10'!$C$4='W10'!$D$4,(IF(AND($S$4="Multi",$R$4="FY"),ROUND(((1+$M14)^('W10'!$B$20+2)*'W10'!$F$9+(1+$M14)^('W10'!$B$20+3)*'W10'!$F$10)/12*'R10'!$E14*'R10'!$I14,0),(IF(AND($S$4="Multi",$R$4="PY"),ROUND($E14*$I14*((1+$M14)^3)/12*'W10'!$F$5,0),(IF(AND($S$4&lt;&gt;"Multi",$R$4="FY"),ROUND(((1+$S$4)^('W10'!$B$20+2)*'W10'!$F$9+(1+$S$4)^('W10'!$B$20+3)*'W10'!$F$10)/12*'R10'!$E14*'R10'!$I14,0),ROUND($E14*$I14*((1+$S$4)^3)/12*'W10'!$F$5,0))))))),(IF(AND($S$4="Multi",$R$4="FY"),ROUND(((1+$M14)^('W10'!$B$20+3)*'W10'!$F$9+(1+$M14)^('W10'!$B$20+4)*'W10'!$F$10)/12*'R10'!$E14*'R10'!$I14,0),(IF(AND($S$4="Multi",$R$4="PY"),ROUND($E14*$I14*((1+$M14)^3)/12*'W10'!$F$5,0),(IF(AND($S$4&lt;&gt;"Multi",$R$4="FY"),ROUND(((1+$S$4)^('W10'!$B$20+3)*'W10'!$F$9+(1+$S$4)^('W10'!$B$20+4)*'W10'!$F$10)/12*'R10'!$E14*'R10'!$I14,0),ROUND($E14*$I14*((1+$S$4)^3)/12*'W10'!$F$5,0))))))))</f>
        <v>0</v>
      </c>
      <c r="R14" s="187">
        <f ca="1">IF('W10'!$C$4='W10'!$D$4,(IF(AND($S$4="Multi",$R$4="FY"),ROUND(((1+$M14)^('W10'!$B$20+3)*'W10'!$G$9+(1+$M14)^('W10'!$B$20+4)*'W10'!$G$10)/12*'R10'!$E14*'R10'!$J14,0),(IF(AND($S$4="Multi",$R$4="PY"),ROUND($E14*$J14*((1+$M14)^4)/12*'W10'!$G$5,0),(IF(AND($S$4&lt;&gt;"Multi",$R$4="FY"),ROUND(((1+$S$4)^('W10'!$B$20+3)*'W10'!$G$9+(1+$S$4)^('W10'!$B$20+4)*'W10'!$G$10)/12*'R10'!$E14*'R10'!$J14,0),ROUND($E14*$J14*((1+$S$4)^4)/12*'W10'!$G$5,0))))))),(IF(AND($S$4="Multi",$R$4="FY"),ROUND(((1+$M14)^('W10'!$B$20+4)*'W10'!$G$9+(1+$M14)^('W10'!$B$20+5)*'W10'!$G$10)/12*'R10'!$E14*'R10'!$J14,0),(IF(AND($S$4="Multi",$R$4="PY"),ROUND($E14*$J14*((1+$M14)^4)/12*'W10'!$G$5,0),(IF(AND($S$4&lt;&gt;"Multi",$R$4="FY"),ROUND(((1+$S$4)^('W10'!$B$20+4)*'W10'!$G$9+(1+$S$4)^('W10'!$B$20+5)*'W10'!$G$10)/12*'R10'!$E14*'R10'!$J14,0),ROUND($E14*$J14*((1+$S$4)^4)/12*'W10'!$G$5,0))))))))</f>
        <v>0</v>
      </c>
      <c r="S14" s="188">
        <f t="shared" ca="1" si="0"/>
        <v>0</v>
      </c>
      <c r="T14" s="246"/>
      <c r="U14" s="246"/>
      <c r="V14" s="246"/>
      <c r="W14" s="246"/>
      <c r="X14" s="246"/>
      <c r="Y14" s="247"/>
      <c r="Z14" s="247"/>
      <c r="AA14" s="247"/>
      <c r="AB14" s="247"/>
      <c r="AC14" s="24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x14ac:dyDescent="0.2">
      <c r="A15" s="192">
        <v>8</v>
      </c>
      <c r="B15" s="193"/>
      <c r="C15" s="193"/>
      <c r="D15" s="194"/>
      <c r="E15" s="195"/>
      <c r="F15" s="221"/>
      <c r="G15" s="221"/>
      <c r="H15" s="221"/>
      <c r="I15" s="221"/>
      <c r="J15" s="221"/>
      <c r="K15" s="190" t="s">
        <v>176</v>
      </c>
      <c r="L15" s="190">
        <v>12</v>
      </c>
      <c r="M15" s="191">
        <v>0.03</v>
      </c>
      <c r="N15" s="187">
        <f ca="1">IF(AND($S$4="Multi",$R$4="FY"),ROUND(((1+$M15)^'W10'!$B$20*'W10'!$C$9+(1+$M15)^('W10'!$B$20+1)*'W10'!$C$10)/12*'R10'!$E15*'R10'!$F15,0),(IF(AND($S$4="Multi",$R$4="PY"),ROUND(E15*F15/12*'W10'!$C$5,0),(IF(AND($S$4&lt;&gt;"Multi",$R$4="FY"),ROUND(((1+$S$4)^'W10'!$B$20*'W10'!$C$9+(1+$S$4)^('W10'!$B$20+1)*'W10'!$C$10)/12*'R10'!$E15*'R10'!$F15,0),ROUND($E15*$F15/12*'W10'!$C$5,0))))))</f>
        <v>0</v>
      </c>
      <c r="O15" s="187">
        <f ca="1">IF('W10'!$C$4='W10'!$D$4,(IF(AND($S$4="Multi",$R$4="FY"),ROUND(((1+$M15)^('W10'!$B$20)*'W10'!$D$9+(1+$M15)^('W10'!$B$20+1)*'W10'!$D$10)/12*'R10'!$E15*'R10'!$G15,0),(IF(AND($S$4="Multi",$R$4="PY"),ROUND($E15*$G15*(1+M15)/12*'W10'!$D$5,0),(IF(AND($S$4&lt;&gt;"Multi",$R$4="FY"),ROUND(((1+$S$4)^('W10'!$B$20)*'W10'!$D$9+(1+$S$4)^('W10'!$B$20+1)*'W10'!$D$10)/12*'R10'!$E15*'R10'!$G15,0),ROUND($E15*$G15*(1+$S$4)/12*'W10'!$D$5,0))))))),(IF(AND($S$4="Multi",$R$4="FY"),ROUND(((1+$M15)^('W10'!$B$20+1)*'W10'!$D$9+(1+$M15)^('W10'!$B$20+2)*'W10'!$D$10)/12*'R10'!$E15*'R10'!$G15,0),(IF(AND($S$4="Multi",$R$4="PY"),ROUND($E15*$G15*(1+M15)/12*'W10'!$D$5,0),(IF(AND($S$4&lt;&gt;"Multi",$R$4="FY"),ROUND(((1+$S$4)^('W10'!$B$20+1)*'W10'!$D$9+(1+$S$4)^('W10'!$B$20+2)*'W10'!$D$10)/12*'R10'!$E15*'R10'!$G15,0),ROUND($E15*$G15*(1+$S$4)/12*'W10'!$D$5,0))))))))</f>
        <v>0</v>
      </c>
      <c r="P15" s="187">
        <f ca="1">IF('W10'!$C$4='W10'!$D$4,(IF(AND($S$4="Multi",$R$4="FY"),ROUND(((1+$M15)^('W10'!$B$20+1)*'W10'!$E$9+(1+$M15)^('W10'!$B$20+2)*'W10'!$E$10)/12*'R10'!$E15*'R10'!H15,0),(IF(AND($S$4="Multi",$R$4="PY"),ROUND($E15*H15*((1+$M15)^2)/12*'W10'!$E$5,0),(IF(AND($S$4&lt;&gt;"Multi",$R$4="FY"),ROUND(((1+$S$4)^('W10'!$B$20+1)*'W10'!$E$9+(1+$S$4)^('W10'!$B$20+2)*'W10'!$E$10)/12*'R10'!$E15*'R10'!H15,0),ROUND($E15*H15*((1+$S$4)^2)/12*'W10'!$E$5,0))))))),(IF(AND($S$4="Multi",$R$4="FY"),ROUND(((1+$M15)^('W10'!$B$20+2)*'W10'!$E$9+(1+$M15)^('W10'!$B$20+3)*'W10'!$E$10)/12*'R10'!$E15*'R10'!H15,0),(IF(AND($S$4="Multi",$R$4="PY"),ROUND($E15*H15*((1+$M15)^2)/12*'W10'!$E$5,0),(IF(AND($S$4&lt;&gt;"Multi",$R$4="FY"),ROUND(((1+$S$4)^('W10'!$B$20+2)*'W10'!$E$9+(1+$S$4)^('W10'!$B$20+3)*'W10'!$E$10)/12*'R10'!$E15*'R10'!H15,0),ROUND($E15*H15*((1+$S$4)^2)/12*'W10'!$E$5,0))))))))</f>
        <v>0</v>
      </c>
      <c r="Q15" s="187">
        <f ca="1">IF('W10'!$C$4='W10'!$D$4,(IF(AND($S$4="Multi",$R$4="FY"),ROUND(((1+$M15)^('W10'!$B$20+2)*'W10'!$F$9+(1+$M15)^('W10'!$B$20+3)*'W10'!$F$10)/12*'R10'!$E15*'R10'!$I15,0),(IF(AND($S$4="Multi",$R$4="PY"),ROUND($E15*$I15*((1+$M15)^3)/12*'W10'!$F$5,0),(IF(AND($S$4&lt;&gt;"Multi",$R$4="FY"),ROUND(((1+$S$4)^('W10'!$B$20+2)*'W10'!$F$9+(1+$S$4)^('W10'!$B$20+3)*'W10'!$F$10)/12*'R10'!$E15*'R10'!$I15,0),ROUND($E15*$I15*((1+$S$4)^3)/12*'W10'!$F$5,0))))))),(IF(AND($S$4="Multi",$R$4="FY"),ROUND(((1+$M15)^('W10'!$B$20+3)*'W10'!$F$9+(1+$M15)^('W10'!$B$20+4)*'W10'!$F$10)/12*'R10'!$E15*'R10'!$I15,0),(IF(AND($S$4="Multi",$R$4="PY"),ROUND($E15*$I15*((1+$M15)^3)/12*'W10'!$F$5,0),(IF(AND($S$4&lt;&gt;"Multi",$R$4="FY"),ROUND(((1+$S$4)^('W10'!$B$20+3)*'W10'!$F$9+(1+$S$4)^('W10'!$B$20+4)*'W10'!$F$10)/12*'R10'!$E15*'R10'!$I15,0),ROUND($E15*$I15*((1+$S$4)^3)/12*'W10'!$F$5,0))))))))</f>
        <v>0</v>
      </c>
      <c r="R15" s="187">
        <f ca="1">IF('W10'!$C$4='W10'!$D$4,(IF(AND($S$4="Multi",$R$4="FY"),ROUND(((1+$M15)^('W10'!$B$20+3)*'W10'!$G$9+(1+$M15)^('W10'!$B$20+4)*'W10'!$G$10)/12*'R10'!$E15*'R10'!$J15,0),(IF(AND($S$4="Multi",$R$4="PY"),ROUND($E15*$J15*((1+$M15)^4)/12*'W10'!$G$5,0),(IF(AND($S$4&lt;&gt;"Multi",$R$4="FY"),ROUND(((1+$S$4)^('W10'!$B$20+3)*'W10'!$G$9+(1+$S$4)^('W10'!$B$20+4)*'W10'!$G$10)/12*'R10'!$E15*'R10'!$J15,0),ROUND($E15*$J15*((1+$S$4)^4)/12*'W10'!$G$5,0))))))),(IF(AND($S$4="Multi",$R$4="FY"),ROUND(((1+$M15)^('W10'!$B$20+4)*'W10'!$G$9+(1+$M15)^('W10'!$B$20+5)*'W10'!$G$10)/12*'R10'!$E15*'R10'!$J15,0),(IF(AND($S$4="Multi",$R$4="PY"),ROUND($E15*$J15*((1+$M15)^4)/12*'W10'!$G$5,0),(IF(AND($S$4&lt;&gt;"Multi",$R$4="FY"),ROUND(((1+$S$4)^('W10'!$B$20+4)*'W10'!$G$9+(1+$S$4)^('W10'!$B$20+5)*'W10'!$G$10)/12*'R10'!$E15*'R10'!$J15,0),ROUND($E15*$J15*((1+$S$4)^4)/12*'W10'!$G$5,0))))))))</f>
        <v>0</v>
      </c>
      <c r="S15" s="188">
        <f t="shared" ca="1" si="0"/>
        <v>0</v>
      </c>
      <c r="T15" s="246"/>
      <c r="U15" s="246"/>
      <c r="V15" s="246"/>
      <c r="W15" s="246"/>
      <c r="X15" s="246"/>
      <c r="Y15" s="247"/>
      <c r="Z15" s="247"/>
      <c r="AA15" s="247"/>
      <c r="AB15" s="247"/>
      <c r="AC15" s="24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x14ac:dyDescent="0.2">
      <c r="A16" s="192">
        <v>9</v>
      </c>
      <c r="B16" s="193"/>
      <c r="C16" s="193"/>
      <c r="D16" s="194"/>
      <c r="E16" s="195"/>
      <c r="F16" s="221"/>
      <c r="G16" s="221"/>
      <c r="H16" s="221"/>
      <c r="I16" s="221"/>
      <c r="J16" s="221"/>
      <c r="K16" s="190" t="s">
        <v>176</v>
      </c>
      <c r="L16" s="190">
        <v>12</v>
      </c>
      <c r="M16" s="191">
        <v>0.03</v>
      </c>
      <c r="N16" s="187">
        <f ca="1">IF(AND($S$4="Multi",$R$4="FY"),ROUND(((1+$M16)^'W10'!$B$20*'W10'!$C$9+(1+$M16)^('W10'!$B$20+1)*'W10'!$C$10)/12*'R10'!$E16*'R10'!$F16,0),(IF(AND($S$4="Multi",$R$4="PY"),ROUND(E16*F16/12*'W10'!$C$5,0),(IF(AND($S$4&lt;&gt;"Multi",$R$4="FY"),ROUND(((1+$S$4)^'W10'!$B$20*'W10'!$C$9+(1+$S$4)^('W10'!$B$20+1)*'W10'!$C$10)/12*'R10'!$E16*'R10'!$F16,0),ROUND($E16*$F16/12*'W10'!$C$5,0))))))</f>
        <v>0</v>
      </c>
      <c r="O16" s="187">
        <f ca="1">IF('W10'!$C$4='W10'!$D$4,(IF(AND($S$4="Multi",$R$4="FY"),ROUND(((1+$M16)^('W10'!$B$20)*'W10'!$D$9+(1+$M16)^('W10'!$B$20+1)*'W10'!$D$10)/12*'R10'!$E16*'R10'!$G16,0),(IF(AND($S$4="Multi",$R$4="PY"),ROUND($E16*$G16*(1+M16)/12*'W10'!$D$5,0),(IF(AND($S$4&lt;&gt;"Multi",$R$4="FY"),ROUND(((1+$S$4)^('W10'!$B$20)*'W10'!$D$9+(1+$S$4)^('W10'!$B$20+1)*'W10'!$D$10)/12*'R10'!$E16*'R10'!$G16,0),ROUND($E16*$G16*(1+$S$4)/12*'W10'!$D$5,0))))))),(IF(AND($S$4="Multi",$R$4="FY"),ROUND(((1+$M16)^('W10'!$B$20+1)*'W10'!$D$9+(1+$M16)^('W10'!$B$20+2)*'W10'!$D$10)/12*'R10'!$E16*'R10'!$G16,0),(IF(AND($S$4="Multi",$R$4="PY"),ROUND($E16*$G16*(1+M16)/12*'W10'!$D$5,0),(IF(AND($S$4&lt;&gt;"Multi",$R$4="FY"),ROUND(((1+$S$4)^('W10'!$B$20+1)*'W10'!$D$9+(1+$S$4)^('W10'!$B$20+2)*'W10'!$D$10)/12*'R10'!$E16*'R10'!$G16,0),ROUND($E16*$G16*(1+$S$4)/12*'W10'!$D$5,0))))))))</f>
        <v>0</v>
      </c>
      <c r="P16" s="187">
        <f ca="1">IF('W10'!$C$4='W10'!$D$4,(IF(AND($S$4="Multi",$R$4="FY"),ROUND(((1+$M16)^('W10'!$B$20+1)*'W10'!$E$9+(1+$M16)^('W10'!$B$20+2)*'W10'!$E$10)/12*'R10'!$E16*'R10'!H16,0),(IF(AND($S$4="Multi",$R$4="PY"),ROUND($E16*H16*((1+$M16)^2)/12*'W10'!$E$5,0),(IF(AND($S$4&lt;&gt;"Multi",$R$4="FY"),ROUND(((1+$S$4)^('W10'!$B$20+1)*'W10'!$E$9+(1+$S$4)^('W10'!$B$20+2)*'W10'!$E$10)/12*'R10'!$E16*'R10'!H16,0),ROUND($E16*H16*((1+$S$4)^2)/12*'W10'!$E$5,0))))))),(IF(AND($S$4="Multi",$R$4="FY"),ROUND(((1+$M16)^('W10'!$B$20+2)*'W10'!$E$9+(1+$M16)^('W10'!$B$20+3)*'W10'!$E$10)/12*'R10'!$E16*'R10'!H16,0),(IF(AND($S$4="Multi",$R$4="PY"),ROUND($E16*H16*((1+$M16)^2)/12*'W10'!$E$5,0),(IF(AND($S$4&lt;&gt;"Multi",$R$4="FY"),ROUND(((1+$S$4)^('W10'!$B$20+2)*'W10'!$E$9+(1+$S$4)^('W10'!$B$20+3)*'W10'!$E$10)/12*'R10'!$E16*'R10'!H16,0),ROUND($E16*H16*((1+$S$4)^2)/12*'W10'!$E$5,0))))))))</f>
        <v>0</v>
      </c>
      <c r="Q16" s="187">
        <f ca="1">IF('W10'!$C$4='W10'!$D$4,(IF(AND($S$4="Multi",$R$4="FY"),ROUND(((1+$M16)^('W10'!$B$20+2)*'W10'!$F$9+(1+$M16)^('W10'!$B$20+3)*'W10'!$F$10)/12*'R10'!$E16*'R10'!$I16,0),(IF(AND($S$4="Multi",$R$4="PY"),ROUND($E16*$I16*((1+$M16)^3)/12*'W10'!$F$5,0),(IF(AND($S$4&lt;&gt;"Multi",$R$4="FY"),ROUND(((1+$S$4)^('W10'!$B$20+2)*'W10'!$F$9+(1+$S$4)^('W10'!$B$20+3)*'W10'!$F$10)/12*'R10'!$E16*'R10'!$I16,0),ROUND($E16*$I16*((1+$S$4)^3)/12*'W10'!$F$5,0))))))),(IF(AND($S$4="Multi",$R$4="FY"),ROUND(((1+$M16)^('W10'!$B$20+3)*'W10'!$F$9+(1+$M16)^('W10'!$B$20+4)*'W10'!$F$10)/12*'R10'!$E16*'R10'!$I16,0),(IF(AND($S$4="Multi",$R$4="PY"),ROUND($E16*$I16*((1+$M16)^3)/12*'W10'!$F$5,0),(IF(AND($S$4&lt;&gt;"Multi",$R$4="FY"),ROUND(((1+$S$4)^('W10'!$B$20+3)*'W10'!$F$9+(1+$S$4)^('W10'!$B$20+4)*'W10'!$F$10)/12*'R10'!$E16*'R10'!$I16,0),ROUND($E16*$I16*((1+$S$4)^3)/12*'W10'!$F$5,0))))))))</f>
        <v>0</v>
      </c>
      <c r="R16" s="187">
        <f ca="1">IF('W10'!$C$4='W10'!$D$4,(IF(AND($S$4="Multi",$R$4="FY"),ROUND(((1+$M16)^('W10'!$B$20+3)*'W10'!$G$9+(1+$M16)^('W10'!$B$20+4)*'W10'!$G$10)/12*'R10'!$E16*'R10'!$J16,0),(IF(AND($S$4="Multi",$R$4="PY"),ROUND($E16*$J16*((1+$M16)^4)/12*'W10'!$G$5,0),(IF(AND($S$4&lt;&gt;"Multi",$R$4="FY"),ROUND(((1+$S$4)^('W10'!$B$20+3)*'W10'!$G$9+(1+$S$4)^('W10'!$B$20+4)*'W10'!$G$10)/12*'R10'!$E16*'R10'!$J16,0),ROUND($E16*$J16*((1+$S$4)^4)/12*'W10'!$G$5,0))))))),(IF(AND($S$4="Multi",$R$4="FY"),ROUND(((1+$M16)^('W10'!$B$20+4)*'W10'!$G$9+(1+$M16)^('W10'!$B$20+5)*'W10'!$G$10)/12*'R10'!$E16*'R10'!$J16,0),(IF(AND($S$4="Multi",$R$4="PY"),ROUND($E16*$J16*((1+$M16)^4)/12*'W10'!$G$5,0),(IF(AND($S$4&lt;&gt;"Multi",$R$4="FY"),ROUND(((1+$S$4)^('W10'!$B$20+4)*'W10'!$G$9+(1+$S$4)^('W10'!$B$20+5)*'W10'!$G$10)/12*'R10'!$E16*'R10'!$J16,0),ROUND($E16*$J16*((1+$S$4)^4)/12*'W10'!$G$5,0))))))))</f>
        <v>0</v>
      </c>
      <c r="S16" s="188">
        <f t="shared" ca="1" si="0"/>
        <v>0</v>
      </c>
      <c r="T16" s="246"/>
      <c r="U16" s="246"/>
      <c r="V16" s="246"/>
      <c r="W16" s="246"/>
      <c r="X16" s="246"/>
      <c r="Y16" s="247"/>
      <c r="Z16" s="247"/>
      <c r="AA16" s="247"/>
      <c r="AB16" s="247"/>
      <c r="AC16" s="24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x14ac:dyDescent="0.2">
      <c r="A17" s="192">
        <v>10</v>
      </c>
      <c r="B17" s="193"/>
      <c r="C17" s="193"/>
      <c r="D17" s="194"/>
      <c r="E17" s="195"/>
      <c r="F17" s="221"/>
      <c r="G17" s="221"/>
      <c r="H17" s="221"/>
      <c r="I17" s="221"/>
      <c r="J17" s="221"/>
      <c r="K17" s="190" t="s">
        <v>176</v>
      </c>
      <c r="L17" s="190">
        <v>12</v>
      </c>
      <c r="M17" s="191">
        <v>0.03</v>
      </c>
      <c r="N17" s="187">
        <f ca="1">IF(AND($S$4="Multi",$R$4="FY"),ROUND(((1+$M17)^'W10'!$B$20*'W10'!$C$9+(1+$M17)^('W10'!$B$20+1)*'W10'!$C$10)/12*'R10'!$E17*'R10'!$F17,0),(IF(AND($S$4="Multi",$R$4="PY"),ROUND(E17*F17/12*'W10'!$C$5,0),(IF(AND($S$4&lt;&gt;"Multi",$R$4="FY"),ROUND(((1+$S$4)^'W10'!$B$20*'W10'!$C$9+(1+$S$4)^('W10'!$B$20+1)*'W10'!$C$10)/12*'R10'!$E17*'R10'!$F17,0),ROUND($E17*$F17/12*'W10'!$C$5,0))))))</f>
        <v>0</v>
      </c>
      <c r="O17" s="187">
        <f ca="1">IF('W10'!$C$4='W10'!$D$4,(IF(AND($S$4="Multi",$R$4="FY"),ROUND(((1+$M17)^('W10'!$B$20)*'W10'!$D$9+(1+$M17)^('W10'!$B$20+1)*'W10'!$D$10)/12*'R10'!$E17*'R10'!$G17,0),(IF(AND($S$4="Multi",$R$4="PY"),ROUND($E17*$G17*(1+M17)/12*'W10'!$D$5,0),(IF(AND($S$4&lt;&gt;"Multi",$R$4="FY"),ROUND(((1+$S$4)^('W10'!$B$20)*'W10'!$D$9+(1+$S$4)^('W10'!$B$20+1)*'W10'!$D$10)/12*'R10'!$E17*'R10'!$G17,0),ROUND($E17*$G17*(1+$S$4)/12*'W10'!$D$5,0))))))),(IF(AND($S$4="Multi",$R$4="FY"),ROUND(((1+$M17)^('W10'!$B$20+1)*'W10'!$D$9+(1+$M17)^('W10'!$B$20+2)*'W10'!$D$10)/12*'R10'!$E17*'R10'!$G17,0),(IF(AND($S$4="Multi",$R$4="PY"),ROUND($E17*$G17*(1+M17)/12*'W10'!$D$5,0),(IF(AND($S$4&lt;&gt;"Multi",$R$4="FY"),ROUND(((1+$S$4)^('W10'!$B$20+1)*'W10'!$D$9+(1+$S$4)^('W10'!$B$20+2)*'W10'!$D$10)/12*'R10'!$E17*'R10'!$G17,0),ROUND($E17*$G17*(1+$S$4)/12*'W10'!$D$5,0))))))))</f>
        <v>0</v>
      </c>
      <c r="P17" s="187">
        <f ca="1">IF('W10'!$C$4='W10'!$D$4,(IF(AND($S$4="Multi",$R$4="FY"),ROUND(((1+$M17)^('W10'!$B$20+1)*'W10'!$E$9+(1+$M17)^('W10'!$B$20+2)*'W10'!$E$10)/12*'R10'!$E17*'R10'!H17,0),(IF(AND($S$4="Multi",$R$4="PY"),ROUND($E17*H17*((1+$M17)^2)/12*'W10'!$E$5,0),(IF(AND($S$4&lt;&gt;"Multi",$R$4="FY"),ROUND(((1+$S$4)^('W10'!$B$20+1)*'W10'!$E$9+(1+$S$4)^('W10'!$B$20+2)*'W10'!$E$10)/12*'R10'!$E17*'R10'!H17,0),ROUND($E17*H17*((1+$S$4)^2)/12*'W10'!$E$5,0))))))),(IF(AND($S$4="Multi",$R$4="FY"),ROUND(((1+$M17)^('W10'!$B$20+2)*'W10'!$E$9+(1+$M17)^('W10'!$B$20+3)*'W10'!$E$10)/12*'R10'!$E17*'R10'!H17,0),(IF(AND($S$4="Multi",$R$4="PY"),ROUND($E17*H17*((1+$M17)^2)/12*'W10'!$E$5,0),(IF(AND($S$4&lt;&gt;"Multi",$R$4="FY"),ROUND(((1+$S$4)^('W10'!$B$20+2)*'W10'!$E$9+(1+$S$4)^('W10'!$B$20+3)*'W10'!$E$10)/12*'R10'!$E17*'R10'!H17,0),ROUND($E17*H17*((1+$S$4)^2)/12*'W10'!$E$5,0))))))))</f>
        <v>0</v>
      </c>
      <c r="Q17" s="187">
        <f ca="1">IF('W10'!$C$4='W10'!$D$4,(IF(AND($S$4="Multi",$R$4="FY"),ROUND(((1+$M17)^('W10'!$B$20+2)*'W10'!$F$9+(1+$M17)^('W10'!$B$20+3)*'W10'!$F$10)/12*'R10'!$E17*'R10'!$I17,0),(IF(AND($S$4="Multi",$R$4="PY"),ROUND($E17*$I17*((1+$M17)^3)/12*'W10'!$F$5,0),(IF(AND($S$4&lt;&gt;"Multi",$R$4="FY"),ROUND(((1+$S$4)^('W10'!$B$20+2)*'W10'!$F$9+(1+$S$4)^('W10'!$B$20+3)*'W10'!$F$10)/12*'R10'!$E17*'R10'!$I17,0),ROUND($E17*$I17*((1+$S$4)^3)/12*'W10'!$F$5,0))))))),(IF(AND($S$4="Multi",$R$4="FY"),ROUND(((1+$M17)^('W10'!$B$20+3)*'W10'!$F$9+(1+$M17)^('W10'!$B$20+4)*'W10'!$F$10)/12*'R10'!$E17*'R10'!$I17,0),(IF(AND($S$4="Multi",$R$4="PY"),ROUND($E17*$I17*((1+$M17)^3)/12*'W10'!$F$5,0),(IF(AND($S$4&lt;&gt;"Multi",$R$4="FY"),ROUND(((1+$S$4)^('W10'!$B$20+3)*'W10'!$F$9+(1+$S$4)^('W10'!$B$20+4)*'W10'!$F$10)/12*'R10'!$E17*'R10'!$I17,0),ROUND($E17*$I17*((1+$S$4)^3)/12*'W10'!$F$5,0))))))))</f>
        <v>0</v>
      </c>
      <c r="R17" s="187">
        <f ca="1">IF('W10'!$C$4='W10'!$D$4,(IF(AND($S$4="Multi",$R$4="FY"),ROUND(((1+$M17)^('W10'!$B$20+3)*'W10'!$G$9+(1+$M17)^('W10'!$B$20+4)*'W10'!$G$10)/12*'R10'!$E17*'R10'!$J17,0),(IF(AND($S$4="Multi",$R$4="PY"),ROUND($E17*$J17*((1+$M17)^4)/12*'W10'!$G$5,0),(IF(AND($S$4&lt;&gt;"Multi",$R$4="FY"),ROUND(((1+$S$4)^('W10'!$B$20+3)*'W10'!$G$9+(1+$S$4)^('W10'!$B$20+4)*'W10'!$G$10)/12*'R10'!$E17*'R10'!$J17,0),ROUND($E17*$J17*((1+$S$4)^4)/12*'W10'!$G$5,0))))))),(IF(AND($S$4="Multi",$R$4="FY"),ROUND(((1+$M17)^('W10'!$B$20+4)*'W10'!$G$9+(1+$M17)^('W10'!$B$20+5)*'W10'!$G$10)/12*'R10'!$E17*'R10'!$J17,0),(IF(AND($S$4="Multi",$R$4="PY"),ROUND($E17*$J17*((1+$M17)^4)/12*'W10'!$G$5,0),(IF(AND($S$4&lt;&gt;"Multi",$R$4="FY"),ROUND(((1+$S$4)^('W10'!$B$20+4)*'W10'!$G$9+(1+$S$4)^('W10'!$B$20+5)*'W10'!$G$10)/12*'R10'!$E17*'R10'!$J17,0),ROUND($E17*$J17*((1+$S$4)^4)/12*'W10'!$G$5,0))))))))</f>
        <v>0</v>
      </c>
      <c r="S17" s="188">
        <f t="shared" ca="1" si="0"/>
        <v>0</v>
      </c>
      <c r="T17" s="246"/>
      <c r="U17" s="246"/>
      <c r="V17" s="246"/>
      <c r="W17" s="246"/>
      <c r="X17" s="246"/>
      <c r="Y17" s="247"/>
      <c r="Z17" s="247"/>
      <c r="AA17" s="247"/>
      <c r="AB17" s="247"/>
      <c r="AC17" s="24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x14ac:dyDescent="0.2">
      <c r="A18" s="192">
        <v>11</v>
      </c>
      <c r="B18" s="193"/>
      <c r="C18" s="193"/>
      <c r="D18" s="194"/>
      <c r="E18" s="195"/>
      <c r="F18" s="221"/>
      <c r="G18" s="221"/>
      <c r="H18" s="221"/>
      <c r="I18" s="221"/>
      <c r="J18" s="221"/>
      <c r="K18" s="190" t="s">
        <v>176</v>
      </c>
      <c r="L18" s="190">
        <v>12</v>
      </c>
      <c r="M18" s="191">
        <v>0.03</v>
      </c>
      <c r="N18" s="187">
        <f ca="1">IF(AND($S$4="Multi",$R$4="FY"),ROUND(((1+$M18)^'W10'!$B$20*'W10'!$C$9+(1+$M18)^('W10'!$B$20+1)*'W10'!$C$10)/12*'R10'!$E18*'R10'!$F18,0),(IF(AND($S$4="Multi",$R$4="PY"),ROUND(E18*F18/12*'W10'!$C$5,0),(IF(AND($S$4&lt;&gt;"Multi",$R$4="FY"),ROUND(((1+$S$4)^'W10'!$B$20*'W10'!$C$9+(1+$S$4)^('W10'!$B$20+1)*'W10'!$C$10)/12*'R10'!$E18*'R10'!$F18,0),ROUND($E18*$F18/12*'W10'!$C$5,0))))))</f>
        <v>0</v>
      </c>
      <c r="O18" s="187">
        <f ca="1">IF('W10'!$C$4='W10'!$D$4,(IF(AND($S$4="Multi",$R$4="FY"),ROUND(((1+$M18)^('W10'!$B$20)*'W10'!$D$9+(1+$M18)^('W10'!$B$20+1)*'W10'!$D$10)/12*'R10'!$E18*'R10'!$G18,0),(IF(AND($S$4="Multi",$R$4="PY"),ROUND($E18*$G18*(1+M18)/12*'W10'!$D$5,0),(IF(AND($S$4&lt;&gt;"Multi",$R$4="FY"),ROUND(((1+$S$4)^('W10'!$B$20)*'W10'!$D$9+(1+$S$4)^('W10'!$B$20+1)*'W10'!$D$10)/12*'R10'!$E18*'R10'!$G18,0),ROUND($E18*$G18*(1+$S$4)/12*'W10'!$D$5,0))))))),(IF(AND($S$4="Multi",$R$4="FY"),ROUND(((1+$M18)^('W10'!$B$20+1)*'W10'!$D$9+(1+$M18)^('W10'!$B$20+2)*'W10'!$D$10)/12*'R10'!$E18*'R10'!$G18,0),(IF(AND($S$4="Multi",$R$4="PY"),ROUND($E18*$G18*(1+M18)/12*'W10'!$D$5,0),(IF(AND($S$4&lt;&gt;"Multi",$R$4="FY"),ROUND(((1+$S$4)^('W10'!$B$20+1)*'W10'!$D$9+(1+$S$4)^('W10'!$B$20+2)*'W10'!$D$10)/12*'R10'!$E18*'R10'!$G18,0),ROUND($E18*$G18*(1+$S$4)/12*'W10'!$D$5,0))))))))</f>
        <v>0</v>
      </c>
      <c r="P18" s="187">
        <f ca="1">IF('W10'!$C$4='W10'!$D$4,(IF(AND($S$4="Multi",$R$4="FY"),ROUND(((1+$M18)^('W10'!$B$20+1)*'W10'!$E$9+(1+$M18)^('W10'!$B$20+2)*'W10'!$E$10)/12*'R10'!$E18*'R10'!H18,0),(IF(AND($S$4="Multi",$R$4="PY"),ROUND($E18*H18*((1+$M18)^2)/12*'W10'!$E$5,0),(IF(AND($S$4&lt;&gt;"Multi",$R$4="FY"),ROUND(((1+$S$4)^('W10'!$B$20+1)*'W10'!$E$9+(1+$S$4)^('W10'!$B$20+2)*'W10'!$E$10)/12*'R10'!$E18*'R10'!H18,0),ROUND($E18*H18*((1+$S$4)^2)/12*'W10'!$E$5,0))))))),(IF(AND($S$4="Multi",$R$4="FY"),ROUND(((1+$M18)^('W10'!$B$20+2)*'W10'!$E$9+(1+$M18)^('W10'!$B$20+3)*'W10'!$E$10)/12*'R10'!$E18*'R10'!H18,0),(IF(AND($S$4="Multi",$R$4="PY"),ROUND($E18*H18*((1+$M18)^2)/12*'W10'!$E$5,0),(IF(AND($S$4&lt;&gt;"Multi",$R$4="FY"),ROUND(((1+$S$4)^('W10'!$B$20+2)*'W10'!$E$9+(1+$S$4)^('W10'!$B$20+3)*'W10'!$E$10)/12*'R10'!$E18*'R10'!H18,0),ROUND($E18*H18*((1+$S$4)^2)/12*'W10'!$E$5,0))))))))</f>
        <v>0</v>
      </c>
      <c r="Q18" s="187">
        <f ca="1">IF('W10'!$C$4='W10'!$D$4,(IF(AND($S$4="Multi",$R$4="FY"),ROUND(((1+$M18)^('W10'!$B$20+2)*'W10'!$F$9+(1+$M18)^('W10'!$B$20+3)*'W10'!$F$10)/12*'R10'!$E18*'R10'!$I18,0),(IF(AND($S$4="Multi",$R$4="PY"),ROUND($E18*$I18*((1+$M18)^3)/12*'W10'!$F$5,0),(IF(AND($S$4&lt;&gt;"Multi",$R$4="FY"),ROUND(((1+$S$4)^('W10'!$B$20+2)*'W10'!$F$9+(1+$S$4)^('W10'!$B$20+3)*'W10'!$F$10)/12*'R10'!$E18*'R10'!$I18,0),ROUND($E18*$I18*((1+$S$4)^3)/12*'W10'!$F$5,0))))))),(IF(AND($S$4="Multi",$R$4="FY"),ROUND(((1+$M18)^('W10'!$B$20+3)*'W10'!$F$9+(1+$M18)^('W10'!$B$20+4)*'W10'!$F$10)/12*'R10'!$E18*'R10'!$I18,0),(IF(AND($S$4="Multi",$R$4="PY"),ROUND($E18*$I18*((1+$M18)^3)/12*'W10'!$F$5,0),(IF(AND($S$4&lt;&gt;"Multi",$R$4="FY"),ROUND(((1+$S$4)^('W10'!$B$20+3)*'W10'!$F$9+(1+$S$4)^('W10'!$B$20+4)*'W10'!$F$10)/12*'R10'!$E18*'R10'!$I18,0),ROUND($E18*$I18*((1+$S$4)^3)/12*'W10'!$F$5,0))))))))</f>
        <v>0</v>
      </c>
      <c r="R18" s="187">
        <f ca="1">IF('W10'!$C$4='W10'!$D$4,(IF(AND($S$4="Multi",$R$4="FY"),ROUND(((1+$M18)^('W10'!$B$20+3)*'W10'!$G$9+(1+$M18)^('W10'!$B$20+4)*'W10'!$G$10)/12*'R10'!$E18*'R10'!$J18,0),(IF(AND($S$4="Multi",$R$4="PY"),ROUND($E18*$J18*((1+$M18)^4)/12*'W10'!$G$5,0),(IF(AND($S$4&lt;&gt;"Multi",$R$4="FY"),ROUND(((1+$S$4)^('W10'!$B$20+3)*'W10'!$G$9+(1+$S$4)^('W10'!$B$20+4)*'W10'!$G$10)/12*'R10'!$E18*'R10'!$J18,0),ROUND($E18*$J18*((1+$S$4)^4)/12*'W10'!$G$5,0))))))),(IF(AND($S$4="Multi",$R$4="FY"),ROUND(((1+$M18)^('W10'!$B$20+4)*'W10'!$G$9+(1+$M18)^('W10'!$B$20+5)*'W10'!$G$10)/12*'R10'!$E18*'R10'!$J18,0),(IF(AND($S$4="Multi",$R$4="PY"),ROUND($E18*$J18*((1+$M18)^4)/12*'W10'!$G$5,0),(IF(AND($S$4&lt;&gt;"Multi",$R$4="FY"),ROUND(((1+$S$4)^('W10'!$B$20+4)*'W10'!$G$9+(1+$S$4)^('W10'!$B$20+5)*'W10'!$G$10)/12*'R10'!$E18*'R10'!$J18,0),ROUND($E18*$J18*((1+$S$4)^4)/12*'W10'!$G$5,0))))))))</f>
        <v>0</v>
      </c>
      <c r="S18" s="188">
        <f t="shared" ca="1" si="0"/>
        <v>0</v>
      </c>
      <c r="T18" s="246"/>
      <c r="U18" s="246"/>
      <c r="V18" s="246"/>
      <c r="W18" s="246"/>
      <c r="X18" s="246"/>
      <c r="Y18" s="247"/>
      <c r="Z18" s="247"/>
      <c r="AA18" s="247"/>
      <c r="AB18" s="247"/>
      <c r="AC18" s="24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x14ac:dyDescent="0.2">
      <c r="A19" s="192">
        <v>12</v>
      </c>
      <c r="B19" s="193"/>
      <c r="C19" s="193"/>
      <c r="D19" s="194"/>
      <c r="E19" s="195"/>
      <c r="F19" s="221"/>
      <c r="G19" s="221"/>
      <c r="H19" s="221"/>
      <c r="I19" s="221"/>
      <c r="J19" s="221"/>
      <c r="K19" s="190" t="s">
        <v>176</v>
      </c>
      <c r="L19" s="190">
        <v>12</v>
      </c>
      <c r="M19" s="191">
        <v>0.03</v>
      </c>
      <c r="N19" s="187">
        <f ca="1">IF(AND($S$4="Multi",$R$4="FY"),ROUND(((1+$M19)^'W10'!$B$20*'W10'!$C$9+(1+$M19)^('W10'!$B$20+1)*'W10'!$C$10)/12*'R10'!$E19*'R10'!$F19,0),(IF(AND($S$4="Multi",$R$4="PY"),ROUND(E19*F19/12*'W10'!$C$5,0),(IF(AND($S$4&lt;&gt;"Multi",$R$4="FY"),ROUND(((1+$S$4)^'W10'!$B$20*'W10'!$C$9+(1+$S$4)^('W10'!$B$20+1)*'W10'!$C$10)/12*'R10'!$E19*'R10'!$F19,0),ROUND($E19*$F19/12*'W10'!$C$5,0))))))</f>
        <v>0</v>
      </c>
      <c r="O19" s="187">
        <f ca="1">IF('W10'!$C$4='W10'!$D$4,(IF(AND($S$4="Multi",$R$4="FY"),ROUND(((1+$M19)^('W10'!$B$20)*'W10'!$D$9+(1+$M19)^('W10'!$B$20+1)*'W10'!$D$10)/12*'R10'!$E19*'R10'!$G19,0),(IF(AND($S$4="Multi",$R$4="PY"),ROUND($E19*$G19*(1+M19)/12*'W10'!$D$5,0),(IF(AND($S$4&lt;&gt;"Multi",$R$4="FY"),ROUND(((1+$S$4)^('W10'!$B$20)*'W10'!$D$9+(1+$S$4)^('W10'!$B$20+1)*'W10'!$D$10)/12*'R10'!$E19*'R10'!$G19,0),ROUND($E19*$G19*(1+$S$4)/12*'W10'!$D$5,0))))))),(IF(AND($S$4="Multi",$R$4="FY"),ROUND(((1+$M19)^('W10'!$B$20+1)*'W10'!$D$9+(1+$M19)^('W10'!$B$20+2)*'W10'!$D$10)/12*'R10'!$E19*'R10'!$G19,0),(IF(AND($S$4="Multi",$R$4="PY"),ROUND($E19*$G19*(1+M19)/12*'W10'!$D$5,0),(IF(AND($S$4&lt;&gt;"Multi",$R$4="FY"),ROUND(((1+$S$4)^('W10'!$B$20+1)*'W10'!$D$9+(1+$S$4)^('W10'!$B$20+2)*'W10'!$D$10)/12*'R10'!$E19*'R10'!$G19,0),ROUND($E19*$G19*(1+$S$4)/12*'W10'!$D$5,0))))))))</f>
        <v>0</v>
      </c>
      <c r="P19" s="187">
        <f ca="1">IF('W10'!$C$4='W10'!$D$4,(IF(AND($S$4="Multi",$R$4="FY"),ROUND(((1+$M19)^('W10'!$B$20+1)*'W10'!$E$9+(1+$M19)^('W10'!$B$20+2)*'W10'!$E$10)/12*'R10'!$E19*'R10'!H19,0),(IF(AND($S$4="Multi",$R$4="PY"),ROUND($E19*H19*((1+$M19)^2)/12*'W10'!$E$5,0),(IF(AND($S$4&lt;&gt;"Multi",$R$4="FY"),ROUND(((1+$S$4)^('W10'!$B$20+1)*'W10'!$E$9+(1+$S$4)^('W10'!$B$20+2)*'W10'!$E$10)/12*'R10'!$E19*'R10'!H19,0),ROUND($E19*H19*((1+$S$4)^2)/12*'W10'!$E$5,0))))))),(IF(AND($S$4="Multi",$R$4="FY"),ROUND(((1+$M19)^('W10'!$B$20+2)*'W10'!$E$9+(1+$M19)^('W10'!$B$20+3)*'W10'!$E$10)/12*'R10'!$E19*'R10'!H19,0),(IF(AND($S$4="Multi",$R$4="PY"),ROUND($E19*H19*((1+$M19)^2)/12*'W10'!$E$5,0),(IF(AND($S$4&lt;&gt;"Multi",$R$4="FY"),ROUND(((1+$S$4)^('W10'!$B$20+2)*'W10'!$E$9+(1+$S$4)^('W10'!$B$20+3)*'W10'!$E$10)/12*'R10'!$E19*'R10'!H19,0),ROUND($E19*H19*((1+$S$4)^2)/12*'W10'!$E$5,0))))))))</f>
        <v>0</v>
      </c>
      <c r="Q19" s="187">
        <f ca="1">IF('W10'!$C$4='W10'!$D$4,(IF(AND($S$4="Multi",$R$4="FY"),ROUND(((1+$M19)^('W10'!$B$20+2)*'W10'!$F$9+(1+$M19)^('W10'!$B$20+3)*'W10'!$F$10)/12*'R10'!$E19*'R10'!$I19,0),(IF(AND($S$4="Multi",$R$4="PY"),ROUND($E19*$I19*((1+$M19)^3)/12*'W10'!$F$5,0),(IF(AND($S$4&lt;&gt;"Multi",$R$4="FY"),ROUND(((1+$S$4)^('W10'!$B$20+2)*'W10'!$F$9+(1+$S$4)^('W10'!$B$20+3)*'W10'!$F$10)/12*'R10'!$E19*'R10'!$I19,0),ROUND($E19*$I19*((1+$S$4)^3)/12*'W10'!$F$5,0))))))),(IF(AND($S$4="Multi",$R$4="FY"),ROUND(((1+$M19)^('W10'!$B$20+3)*'W10'!$F$9+(1+$M19)^('W10'!$B$20+4)*'W10'!$F$10)/12*'R10'!$E19*'R10'!$I19,0),(IF(AND($S$4="Multi",$R$4="PY"),ROUND($E19*$I19*((1+$M19)^3)/12*'W10'!$F$5,0),(IF(AND($S$4&lt;&gt;"Multi",$R$4="FY"),ROUND(((1+$S$4)^('W10'!$B$20+3)*'W10'!$F$9+(1+$S$4)^('W10'!$B$20+4)*'W10'!$F$10)/12*'R10'!$E19*'R10'!$I19,0),ROUND($E19*$I19*((1+$S$4)^3)/12*'W10'!$F$5,0))))))))</f>
        <v>0</v>
      </c>
      <c r="R19" s="187">
        <f ca="1">IF('W10'!$C$4='W10'!$D$4,(IF(AND($S$4="Multi",$R$4="FY"),ROUND(((1+$M19)^('W10'!$B$20+3)*'W10'!$G$9+(1+$M19)^('W10'!$B$20+4)*'W10'!$G$10)/12*'R10'!$E19*'R10'!$J19,0),(IF(AND($S$4="Multi",$R$4="PY"),ROUND($E19*$J19*((1+$M19)^4)/12*'W10'!$G$5,0),(IF(AND($S$4&lt;&gt;"Multi",$R$4="FY"),ROUND(((1+$S$4)^('W10'!$B$20+3)*'W10'!$G$9+(1+$S$4)^('W10'!$B$20+4)*'W10'!$G$10)/12*'R10'!$E19*'R10'!$J19,0),ROUND($E19*$J19*((1+$S$4)^4)/12*'W10'!$G$5,0))))))),(IF(AND($S$4="Multi",$R$4="FY"),ROUND(((1+$M19)^('W10'!$B$20+4)*'W10'!$G$9+(1+$M19)^('W10'!$B$20+5)*'W10'!$G$10)/12*'R10'!$E19*'R10'!$J19,0),(IF(AND($S$4="Multi",$R$4="PY"),ROUND($E19*$J19*((1+$M19)^4)/12*'W10'!$G$5,0),(IF(AND($S$4&lt;&gt;"Multi",$R$4="FY"),ROUND(((1+$S$4)^('W10'!$B$20+4)*'W10'!$G$9+(1+$S$4)^('W10'!$B$20+5)*'W10'!$G$10)/12*'R10'!$E19*'R10'!$J19,0),ROUND($E19*$J19*((1+$S$4)^4)/12*'W10'!$G$5,0))))))))</f>
        <v>0</v>
      </c>
      <c r="S19" s="188">
        <f t="shared" ca="1" si="0"/>
        <v>0</v>
      </c>
      <c r="T19" s="246"/>
      <c r="U19" s="246"/>
      <c r="V19" s="246"/>
      <c r="W19" s="246"/>
      <c r="X19" s="246"/>
      <c r="Y19" s="247"/>
      <c r="Z19" s="247"/>
      <c r="AA19" s="247"/>
      <c r="AB19" s="247"/>
      <c r="AC19" s="24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idden="1" x14ac:dyDescent="0.2">
      <c r="A20" s="192">
        <v>13</v>
      </c>
      <c r="B20" s="193"/>
      <c r="C20" s="193"/>
      <c r="D20" s="194"/>
      <c r="E20" s="195"/>
      <c r="F20" s="221"/>
      <c r="G20" s="221"/>
      <c r="H20" s="221"/>
      <c r="I20" s="221"/>
      <c r="J20" s="221"/>
      <c r="K20" s="190" t="s">
        <v>176</v>
      </c>
      <c r="L20" s="190">
        <v>12</v>
      </c>
      <c r="M20" s="191">
        <v>0.03</v>
      </c>
      <c r="N20" s="187">
        <f ca="1">IF(AND($S$4="Multi",$R$4="FY"),ROUND(((1+$M20)^'W10'!$B$20*'W10'!$C$9+(1+$M20)^('W10'!$B$20+1)*'W10'!$C$10)/12*'R10'!$E20*'R10'!$F20,0),(IF(AND($S$4="Multi",$R$4="PY"),ROUND(E20*F20/12*'W10'!$C$5,0),(IF(AND($S$4&lt;&gt;"Multi",$R$4="FY"),ROUND(((1+$S$4)^'W10'!$B$20*'W10'!$C$9+(1+$S$4)^('W10'!$B$20+1)*'W10'!$C$10)/12*'R10'!$E20*'R10'!$F20,0),ROUND($E20*$F20/12*'W10'!$C$5,0))))))</f>
        <v>0</v>
      </c>
      <c r="O20" s="187">
        <f ca="1">IF('W10'!$C$4='W10'!$D$4,(IF(AND($S$4="Multi",$R$4="FY"),ROUND(((1+$M20)^('W10'!$B$20)*'W10'!$D$9+(1+$M20)^('W10'!$B$20+1)*'W10'!$D$10)/12*'R10'!$E20*'R10'!$G20,0),(IF(AND($S$4="Multi",$R$4="PY"),ROUND($E20*$G20*(1+M20)/12*'W10'!$D$5,0),(IF(AND($S$4&lt;&gt;"Multi",$R$4="FY"),ROUND(((1+$S$4)^('W10'!$B$20)*'W10'!$D$9+(1+$S$4)^('W10'!$B$20+1)*'W10'!$D$10)/12*'R10'!$E20*'R10'!$G20,0),ROUND($E20*$G20*(1+$S$4)/12*'W10'!$D$5,0))))))),(IF(AND($S$4="Multi",$R$4="FY"),ROUND(((1+$M20)^('W10'!$B$20+1)*'W10'!$D$9+(1+$M20)^('W10'!$B$20+2)*'W10'!$D$10)/12*'R10'!$E20*'R10'!$G20,0),(IF(AND($S$4="Multi",$R$4="PY"),ROUND($E20*$G20*(1+M20)/12*'W10'!$D$5,0),(IF(AND($S$4&lt;&gt;"Multi",$R$4="FY"),ROUND(((1+$S$4)^('W10'!$B$20+1)*'W10'!$D$9+(1+$S$4)^('W10'!$B$20+2)*'W10'!$D$10)/12*'R10'!$E20*'R10'!$G20,0),ROUND($E20*$G20*(1+$S$4)/12*'W10'!$D$5,0))))))))</f>
        <v>0</v>
      </c>
      <c r="P20" s="187">
        <f ca="1">IF('W10'!$C$4='W10'!$D$4,(IF(AND($S$4="Multi",$R$4="FY"),ROUND(((1+$M20)^('W10'!$B$20+1)*'W10'!$E$9+(1+$M20)^('W10'!$B$20+2)*'W10'!$E$10)/12*'R10'!$E20*'R10'!H20,0),(IF(AND($S$4="Multi",$R$4="PY"),ROUND($E20*H20*((1+$M20)^2)/12*'W10'!$E$5,0),(IF(AND($S$4&lt;&gt;"Multi",$R$4="FY"),ROUND(((1+$S$4)^('W10'!$B$20+1)*'W10'!$E$9+(1+$S$4)^('W10'!$B$20+2)*'W10'!$E$10)/12*'R10'!$E20*'R10'!H20,0),ROUND($E20*H20*((1+$S$4)^2)/12*'W10'!$E$5,0))))))),(IF(AND($S$4="Multi",$R$4="FY"),ROUND(((1+$M20)^('W10'!$B$20+2)*'W10'!$E$9+(1+$M20)^('W10'!$B$20+3)*'W10'!$E$10)/12*'R10'!$E20*'R10'!H20,0),(IF(AND($S$4="Multi",$R$4="PY"),ROUND($E20*H20*((1+$M20)^2)/12*'W10'!$E$5,0),(IF(AND($S$4&lt;&gt;"Multi",$R$4="FY"),ROUND(((1+$S$4)^('W10'!$B$20+2)*'W10'!$E$9+(1+$S$4)^('W10'!$B$20+3)*'W10'!$E$10)/12*'R10'!$E20*'R10'!H20,0),ROUND($E20*H20*((1+$S$4)^2)/12*'W10'!$E$5,0))))))))</f>
        <v>0</v>
      </c>
      <c r="Q20" s="187">
        <f ca="1">IF('W10'!$C$4='W10'!$D$4,(IF(AND($S$4="Multi",$R$4="FY"),ROUND(((1+$M20)^('W10'!$B$20+2)*'W10'!$F$9+(1+$M20)^('W10'!$B$20+3)*'W10'!$F$10)/12*'R10'!$E20*'R10'!$I20,0),(IF(AND($S$4="Multi",$R$4="PY"),ROUND($E20*$I20*((1+$M20)^3)/12*'W10'!$F$5,0),(IF(AND($S$4&lt;&gt;"Multi",$R$4="FY"),ROUND(((1+$S$4)^('W10'!$B$20+2)*'W10'!$F$9+(1+$S$4)^('W10'!$B$20+3)*'W10'!$F$10)/12*'R10'!$E20*'R10'!$I20,0),ROUND($E20*$I20*((1+$S$4)^3)/12*'W10'!$F$5,0))))))),(IF(AND($S$4="Multi",$R$4="FY"),ROUND(((1+$M20)^('W10'!$B$20+3)*'W10'!$F$9+(1+$M20)^('W10'!$B$20+4)*'W10'!$F$10)/12*'R10'!$E20*'R10'!$I20,0),(IF(AND($S$4="Multi",$R$4="PY"),ROUND($E20*$I20*((1+$M20)^3)/12*'W10'!$F$5,0),(IF(AND($S$4&lt;&gt;"Multi",$R$4="FY"),ROUND(((1+$S$4)^('W10'!$B$20+3)*'W10'!$F$9+(1+$S$4)^('W10'!$B$20+4)*'W10'!$F$10)/12*'R10'!$E20*'R10'!$I20,0),ROUND($E20*$I20*((1+$S$4)^3)/12*'W10'!$F$5,0))))))))</f>
        <v>0</v>
      </c>
      <c r="R20" s="187">
        <f ca="1">IF('W10'!$C$4='W10'!$D$4,(IF(AND($S$4="Multi",$R$4="FY"),ROUND(((1+$M20)^('W10'!$B$20+3)*'W10'!$G$9+(1+$M20)^('W10'!$B$20+4)*'W10'!$G$10)/12*'R10'!$E20*'R10'!$J20,0),(IF(AND($S$4="Multi",$R$4="PY"),ROUND($E20*$J20*((1+$M20)^4)/12*'W10'!$G$5,0),(IF(AND($S$4&lt;&gt;"Multi",$R$4="FY"),ROUND(((1+$S$4)^('W10'!$B$20+3)*'W10'!$G$9+(1+$S$4)^('W10'!$B$20+4)*'W10'!$G$10)/12*'R10'!$E20*'R10'!$J20,0),ROUND($E20*$J20*((1+$S$4)^4)/12*'W10'!$G$5,0))))))),(IF(AND($S$4="Multi",$R$4="FY"),ROUND(((1+$M20)^('W10'!$B$20+4)*'W10'!$G$9+(1+$M20)^('W10'!$B$20+5)*'W10'!$G$10)/12*'R10'!$E20*'R10'!$J20,0),(IF(AND($S$4="Multi",$R$4="PY"),ROUND($E20*$J20*((1+$M20)^4)/12*'W10'!$G$5,0),(IF(AND($S$4&lt;&gt;"Multi",$R$4="FY"),ROUND(((1+$S$4)^('W10'!$B$20+4)*'W10'!$G$9+(1+$S$4)^('W10'!$B$20+5)*'W10'!$G$10)/12*'R10'!$E20*'R10'!$J20,0),ROUND($E20*$J20*((1+$S$4)^4)/12*'W10'!$G$5,0))))))))</f>
        <v>0</v>
      </c>
      <c r="S20" s="188">
        <f t="shared" ca="1" si="0"/>
        <v>0</v>
      </c>
      <c r="T20" s="246"/>
      <c r="U20" s="246"/>
      <c r="V20" s="246"/>
      <c r="W20" s="246"/>
      <c r="X20" s="246"/>
      <c r="Y20" s="247"/>
      <c r="Z20" s="247"/>
      <c r="AA20" s="247"/>
      <c r="AB20" s="247"/>
      <c r="AC20" s="24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idden="1" x14ac:dyDescent="0.2">
      <c r="A21" s="192">
        <v>14</v>
      </c>
      <c r="B21" s="193"/>
      <c r="C21" s="193"/>
      <c r="D21" s="194"/>
      <c r="E21" s="195"/>
      <c r="F21" s="221"/>
      <c r="G21" s="221"/>
      <c r="H21" s="221"/>
      <c r="I21" s="221"/>
      <c r="J21" s="221"/>
      <c r="K21" s="190" t="s">
        <v>176</v>
      </c>
      <c r="L21" s="190">
        <v>12</v>
      </c>
      <c r="M21" s="191">
        <v>0.03</v>
      </c>
      <c r="N21" s="187">
        <f ca="1">IF(AND($S$4="Multi",$R$4="FY"),ROUND(((1+$M21)^'W10'!$B$20*'W10'!$C$9+(1+$M21)^('W10'!$B$20+1)*'W10'!$C$10)/12*'R10'!$E21*'R10'!$F21,0),(IF(AND($S$4="Multi",$R$4="PY"),ROUND(E21*F21/12*'W10'!$C$5,0),(IF(AND($S$4&lt;&gt;"Multi",$R$4="FY"),ROUND(((1+$S$4)^'W10'!$B$20*'W10'!$C$9+(1+$S$4)^('W10'!$B$20+1)*'W10'!$C$10)/12*'R10'!$E21*'R10'!$F21,0),ROUND($E21*$F21/12*'W10'!$C$5,0))))))</f>
        <v>0</v>
      </c>
      <c r="O21" s="187">
        <f ca="1">IF('W10'!$C$4='W10'!$D$4,(IF(AND($S$4="Multi",$R$4="FY"),ROUND(((1+$M21)^('W10'!$B$20)*'W10'!$D$9+(1+$M21)^('W10'!$B$20+1)*'W10'!$D$10)/12*'R10'!$E21*'R10'!$G21,0),(IF(AND($S$4="Multi",$R$4="PY"),ROUND($E21*$G21*(1+M21)/12*'W10'!$D$5,0),(IF(AND($S$4&lt;&gt;"Multi",$R$4="FY"),ROUND(((1+$S$4)^('W10'!$B$20)*'W10'!$D$9+(1+$S$4)^('W10'!$B$20+1)*'W10'!$D$10)/12*'R10'!$E21*'R10'!$G21,0),ROUND($E21*$G21*(1+$S$4)/12*'W10'!$D$5,0))))))),(IF(AND($S$4="Multi",$R$4="FY"),ROUND(((1+$M21)^('W10'!$B$20+1)*'W10'!$D$9+(1+$M21)^('W10'!$B$20+2)*'W10'!$D$10)/12*'R10'!$E21*'R10'!$G21,0),(IF(AND($S$4="Multi",$R$4="PY"),ROUND($E21*$G21*(1+M21)/12*'W10'!$D$5,0),(IF(AND($S$4&lt;&gt;"Multi",$R$4="FY"),ROUND(((1+$S$4)^('W10'!$B$20+1)*'W10'!$D$9+(1+$S$4)^('W10'!$B$20+2)*'W10'!$D$10)/12*'R10'!$E21*'R10'!$G21,0),ROUND($E21*$G21*(1+$S$4)/12*'W10'!$D$5,0))))))))</f>
        <v>0</v>
      </c>
      <c r="P21" s="187">
        <f ca="1">IF('W10'!$C$4='W10'!$D$4,(IF(AND($S$4="Multi",$R$4="FY"),ROUND(((1+$M21)^('W10'!$B$20+1)*'W10'!$E$9+(1+$M21)^('W10'!$B$20+2)*'W10'!$E$10)/12*'R10'!$E21*'R10'!H21,0),(IF(AND($S$4="Multi",$R$4="PY"),ROUND($E21*H21*((1+$M21)^2)/12*'W10'!$E$5,0),(IF(AND($S$4&lt;&gt;"Multi",$R$4="FY"),ROUND(((1+$S$4)^('W10'!$B$20+1)*'W10'!$E$9+(1+$S$4)^('W10'!$B$20+2)*'W10'!$E$10)/12*'R10'!$E21*'R10'!H21,0),ROUND($E21*H21*((1+$S$4)^2)/12*'W10'!$E$5,0))))))),(IF(AND($S$4="Multi",$R$4="FY"),ROUND(((1+$M21)^('W10'!$B$20+2)*'W10'!$E$9+(1+$M21)^('W10'!$B$20+3)*'W10'!$E$10)/12*'R10'!$E21*'R10'!H21,0),(IF(AND($S$4="Multi",$R$4="PY"),ROUND($E21*H21*((1+$M21)^2)/12*'W10'!$E$5,0),(IF(AND($S$4&lt;&gt;"Multi",$R$4="FY"),ROUND(((1+$S$4)^('W10'!$B$20+2)*'W10'!$E$9+(1+$S$4)^('W10'!$B$20+3)*'W10'!$E$10)/12*'R10'!$E21*'R10'!H21,0),ROUND($E21*H21*((1+$S$4)^2)/12*'W10'!$E$5,0))))))))</f>
        <v>0</v>
      </c>
      <c r="Q21" s="187">
        <f ca="1">IF('W10'!$C$4='W10'!$D$4,(IF(AND($S$4="Multi",$R$4="FY"),ROUND(((1+$M21)^('W10'!$B$20+2)*'W10'!$F$9+(1+$M21)^('W10'!$B$20+3)*'W10'!$F$10)/12*'R10'!$E21*'R10'!$I21,0),(IF(AND($S$4="Multi",$R$4="PY"),ROUND($E21*$I21*((1+$M21)^3)/12*'W10'!$F$5,0),(IF(AND($S$4&lt;&gt;"Multi",$R$4="FY"),ROUND(((1+$S$4)^('W10'!$B$20+2)*'W10'!$F$9+(1+$S$4)^('W10'!$B$20+3)*'W10'!$F$10)/12*'R10'!$E21*'R10'!$I21,0),ROUND($E21*$I21*((1+$S$4)^3)/12*'W10'!$F$5,0))))))),(IF(AND($S$4="Multi",$R$4="FY"),ROUND(((1+$M21)^('W10'!$B$20+3)*'W10'!$F$9+(1+$M21)^('W10'!$B$20+4)*'W10'!$F$10)/12*'R10'!$E21*'R10'!$I21,0),(IF(AND($S$4="Multi",$R$4="PY"),ROUND($E21*$I21*((1+$M21)^3)/12*'W10'!$F$5,0),(IF(AND($S$4&lt;&gt;"Multi",$R$4="FY"),ROUND(((1+$S$4)^('W10'!$B$20+3)*'W10'!$F$9+(1+$S$4)^('W10'!$B$20+4)*'W10'!$F$10)/12*'R10'!$E21*'R10'!$I21,0),ROUND($E21*$I21*((1+$S$4)^3)/12*'W10'!$F$5,0))))))))</f>
        <v>0</v>
      </c>
      <c r="R21" s="187">
        <f ca="1">IF('W10'!$C$4='W10'!$D$4,(IF(AND($S$4="Multi",$R$4="FY"),ROUND(((1+$M21)^('W10'!$B$20+3)*'W10'!$G$9+(1+$M21)^('W10'!$B$20+4)*'W10'!$G$10)/12*'R10'!$E21*'R10'!$J21,0),(IF(AND($S$4="Multi",$R$4="PY"),ROUND($E21*$J21*((1+$M21)^4)/12*'W10'!$G$5,0),(IF(AND($S$4&lt;&gt;"Multi",$R$4="FY"),ROUND(((1+$S$4)^('W10'!$B$20+3)*'W10'!$G$9+(1+$S$4)^('W10'!$B$20+4)*'W10'!$G$10)/12*'R10'!$E21*'R10'!$J21,0),ROUND($E21*$J21*((1+$S$4)^4)/12*'W10'!$G$5,0))))))),(IF(AND($S$4="Multi",$R$4="FY"),ROUND(((1+$M21)^('W10'!$B$20+4)*'W10'!$G$9+(1+$M21)^('W10'!$B$20+5)*'W10'!$G$10)/12*'R10'!$E21*'R10'!$J21,0),(IF(AND($S$4="Multi",$R$4="PY"),ROUND($E21*$J21*((1+$M21)^4)/12*'W10'!$G$5,0),(IF(AND($S$4&lt;&gt;"Multi",$R$4="FY"),ROUND(((1+$S$4)^('W10'!$B$20+4)*'W10'!$G$9+(1+$S$4)^('W10'!$B$20+5)*'W10'!$G$10)/12*'R10'!$E21*'R10'!$J21,0),ROUND($E21*$J21*((1+$S$4)^4)/12*'W10'!$G$5,0))))))))</f>
        <v>0</v>
      </c>
      <c r="S21" s="188">
        <f t="shared" ca="1" si="0"/>
        <v>0</v>
      </c>
      <c r="T21" s="246"/>
      <c r="U21" s="246"/>
      <c r="V21" s="246"/>
      <c r="W21" s="246"/>
      <c r="X21" s="246"/>
      <c r="Y21" s="247"/>
      <c r="Z21" s="247"/>
      <c r="AA21" s="247"/>
      <c r="AB21" s="247"/>
      <c r="AC21" s="24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idden="1" x14ac:dyDescent="0.2">
      <c r="A22" s="192">
        <v>15</v>
      </c>
      <c r="B22" s="193"/>
      <c r="C22" s="193"/>
      <c r="D22" s="194"/>
      <c r="E22" s="195"/>
      <c r="F22" s="221"/>
      <c r="G22" s="221"/>
      <c r="H22" s="221"/>
      <c r="I22" s="221"/>
      <c r="J22" s="221"/>
      <c r="K22" s="190" t="s">
        <v>176</v>
      </c>
      <c r="L22" s="190">
        <v>12</v>
      </c>
      <c r="M22" s="191">
        <v>0.03</v>
      </c>
      <c r="N22" s="187">
        <f ca="1">IF(AND($S$4="Multi",$R$4="FY"),ROUND(((1+$M22)^'W10'!$B$20*'W10'!$C$9+(1+$M22)^('W10'!$B$20+1)*'W10'!$C$10)/12*'R10'!$E22*'R10'!$F22,0),(IF(AND($S$4="Multi",$R$4="PY"),ROUND(E22*F22/12*'W10'!$C$5,0),(IF(AND($S$4&lt;&gt;"Multi",$R$4="FY"),ROUND(((1+$S$4)^'W10'!$B$20*'W10'!$C$9+(1+$S$4)^('W10'!$B$20+1)*'W10'!$C$10)/12*'R10'!$E22*'R10'!$F22,0),ROUND($E22*$F22/12*'W10'!$C$5,0))))))</f>
        <v>0</v>
      </c>
      <c r="O22" s="187">
        <f ca="1">IF('W10'!$C$4='W10'!$D$4,(IF(AND($S$4="Multi",$R$4="FY"),ROUND(((1+$M22)^('W10'!$B$20)*'W10'!$D$9+(1+$M22)^('W10'!$B$20+1)*'W10'!$D$10)/12*'R10'!$E22*'R10'!$G22,0),(IF(AND($S$4="Multi",$R$4="PY"),ROUND($E22*$G22*(1+M22)/12*'W10'!$D$5,0),(IF(AND($S$4&lt;&gt;"Multi",$R$4="FY"),ROUND(((1+$S$4)^('W10'!$B$20)*'W10'!$D$9+(1+$S$4)^('W10'!$B$20+1)*'W10'!$D$10)/12*'R10'!$E22*'R10'!$G22,0),ROUND($E22*$G22*(1+$S$4)/12*'W10'!$D$5,0))))))),(IF(AND($S$4="Multi",$R$4="FY"),ROUND(((1+$M22)^('W10'!$B$20+1)*'W10'!$D$9+(1+$M22)^('W10'!$B$20+2)*'W10'!$D$10)/12*'R10'!$E22*'R10'!$G22,0),(IF(AND($S$4="Multi",$R$4="PY"),ROUND($E22*$G22*(1+M22)/12*'W10'!$D$5,0),(IF(AND($S$4&lt;&gt;"Multi",$R$4="FY"),ROUND(((1+$S$4)^('W10'!$B$20+1)*'W10'!$D$9+(1+$S$4)^('W10'!$B$20+2)*'W10'!$D$10)/12*'R10'!$E22*'R10'!$G22,0),ROUND($E22*$G22*(1+$S$4)/12*'W10'!$D$5,0))))))))</f>
        <v>0</v>
      </c>
      <c r="P22" s="187">
        <f ca="1">IF('W10'!$C$4='W10'!$D$4,(IF(AND($S$4="Multi",$R$4="FY"),ROUND(((1+$M22)^('W10'!$B$20+1)*'W10'!$E$9+(1+$M22)^('W10'!$B$20+2)*'W10'!$E$10)/12*'R10'!$E22*'R10'!H22,0),(IF(AND($S$4="Multi",$R$4="PY"),ROUND($E22*H22*((1+$M22)^2)/12*'W10'!$E$5,0),(IF(AND($S$4&lt;&gt;"Multi",$R$4="FY"),ROUND(((1+$S$4)^('W10'!$B$20+1)*'W10'!$E$9+(1+$S$4)^('W10'!$B$20+2)*'W10'!$E$10)/12*'R10'!$E22*'R10'!H22,0),ROUND($E22*H22*((1+$S$4)^2)/12*'W10'!$E$5,0))))))),(IF(AND($S$4="Multi",$R$4="FY"),ROUND(((1+$M22)^('W10'!$B$20+2)*'W10'!$E$9+(1+$M22)^('W10'!$B$20+3)*'W10'!$E$10)/12*'R10'!$E22*'R10'!H22,0),(IF(AND($S$4="Multi",$R$4="PY"),ROUND($E22*H22*((1+$M22)^2)/12*'W10'!$E$5,0),(IF(AND($S$4&lt;&gt;"Multi",$R$4="FY"),ROUND(((1+$S$4)^('W10'!$B$20+2)*'W10'!$E$9+(1+$S$4)^('W10'!$B$20+3)*'W10'!$E$10)/12*'R10'!$E22*'R10'!H22,0),ROUND($E22*H22*((1+$S$4)^2)/12*'W10'!$E$5,0))))))))</f>
        <v>0</v>
      </c>
      <c r="Q22" s="187">
        <f ca="1">IF('W10'!$C$4='W10'!$D$4,(IF(AND($S$4="Multi",$R$4="FY"),ROUND(((1+$M22)^('W10'!$B$20+2)*'W10'!$F$9+(1+$M22)^('W10'!$B$20+3)*'W10'!$F$10)/12*'R10'!$E22*'R10'!$I22,0),(IF(AND($S$4="Multi",$R$4="PY"),ROUND($E22*$I22*((1+$M22)^3)/12*'W10'!$F$5,0),(IF(AND($S$4&lt;&gt;"Multi",$R$4="FY"),ROUND(((1+$S$4)^('W10'!$B$20+2)*'W10'!$F$9+(1+$S$4)^('W10'!$B$20+3)*'W10'!$F$10)/12*'R10'!$E22*'R10'!$I22,0),ROUND($E22*$I22*((1+$S$4)^3)/12*'W10'!$F$5,0))))))),(IF(AND($S$4="Multi",$R$4="FY"),ROUND(((1+$M22)^('W10'!$B$20+3)*'W10'!$F$9+(1+$M22)^('W10'!$B$20+4)*'W10'!$F$10)/12*'R10'!$E22*'R10'!$I22,0),(IF(AND($S$4="Multi",$R$4="PY"),ROUND($E22*$I22*((1+$M22)^3)/12*'W10'!$F$5,0),(IF(AND($S$4&lt;&gt;"Multi",$R$4="FY"),ROUND(((1+$S$4)^('W10'!$B$20+3)*'W10'!$F$9+(1+$S$4)^('W10'!$B$20+4)*'W10'!$F$10)/12*'R10'!$E22*'R10'!$I22,0),ROUND($E22*$I22*((1+$S$4)^3)/12*'W10'!$F$5,0))))))))</f>
        <v>0</v>
      </c>
      <c r="R22" s="187">
        <f ca="1">IF('W10'!$C$4='W10'!$D$4,(IF(AND($S$4="Multi",$R$4="FY"),ROUND(((1+$M22)^('W10'!$B$20+3)*'W10'!$G$9+(1+$M22)^('W10'!$B$20+4)*'W10'!$G$10)/12*'R10'!$E22*'R10'!$J22,0),(IF(AND($S$4="Multi",$R$4="PY"),ROUND($E22*$J22*((1+$M22)^4)/12*'W10'!$G$5,0),(IF(AND($S$4&lt;&gt;"Multi",$R$4="FY"),ROUND(((1+$S$4)^('W10'!$B$20+3)*'W10'!$G$9+(1+$S$4)^('W10'!$B$20+4)*'W10'!$G$10)/12*'R10'!$E22*'R10'!$J22,0),ROUND($E22*$J22*((1+$S$4)^4)/12*'W10'!$G$5,0))))))),(IF(AND($S$4="Multi",$R$4="FY"),ROUND(((1+$M22)^('W10'!$B$20+4)*'W10'!$G$9+(1+$M22)^('W10'!$B$20+5)*'W10'!$G$10)/12*'R10'!$E22*'R10'!$J22,0),(IF(AND($S$4="Multi",$R$4="PY"),ROUND($E22*$J22*((1+$M22)^4)/12*'W10'!$G$5,0),(IF(AND($S$4&lt;&gt;"Multi",$R$4="FY"),ROUND(((1+$S$4)^('W10'!$B$20+4)*'W10'!$G$9+(1+$S$4)^('W10'!$B$20+5)*'W10'!$G$10)/12*'R10'!$E22*'R10'!$J22,0),ROUND($E22*$J22*((1+$S$4)^4)/12*'W10'!$G$5,0))))))))</f>
        <v>0</v>
      </c>
      <c r="S22" s="188">
        <f t="shared" ca="1" si="0"/>
        <v>0</v>
      </c>
      <c r="T22" s="246"/>
      <c r="U22" s="246"/>
      <c r="V22" s="246"/>
      <c r="W22" s="246"/>
      <c r="X22" s="246"/>
      <c r="Y22" s="247"/>
      <c r="Z22" s="247"/>
      <c r="AA22" s="247"/>
      <c r="AB22" s="247"/>
      <c r="AC22" s="24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idden="1" x14ac:dyDescent="0.2">
      <c r="A23" s="192">
        <v>16</v>
      </c>
      <c r="B23" s="193"/>
      <c r="C23" s="193"/>
      <c r="D23" s="194"/>
      <c r="E23" s="195"/>
      <c r="F23" s="221"/>
      <c r="G23" s="221"/>
      <c r="H23" s="221"/>
      <c r="I23" s="221"/>
      <c r="J23" s="221"/>
      <c r="K23" s="190" t="s">
        <v>176</v>
      </c>
      <c r="L23" s="190">
        <v>12</v>
      </c>
      <c r="M23" s="191">
        <v>0.03</v>
      </c>
      <c r="N23" s="187">
        <f ca="1">IF(AND($S$4="Multi",$R$4="FY"),ROUND(((1+$M23)^'W10'!$B$20*'W10'!$C$9+(1+$M23)^('W10'!$B$20+1)*'W10'!$C$10)/12*'R10'!$E23*'R10'!$F23,0),(IF(AND($S$4="Multi",$R$4="PY"),ROUND(E23*F23/12*'W10'!$C$5,0),(IF(AND($S$4&lt;&gt;"Multi",$R$4="FY"),ROUND(((1+$S$4)^'W10'!$B$20*'W10'!$C$9+(1+$S$4)^('W10'!$B$20+1)*'W10'!$C$10)/12*'R10'!$E23*'R10'!$F23,0),ROUND($E23*$F23/12*'W10'!$C$5,0))))))</f>
        <v>0</v>
      </c>
      <c r="O23" s="187">
        <f ca="1">IF('W10'!$C$4='W10'!$D$4,(IF(AND($S$4="Multi",$R$4="FY"),ROUND(((1+$M23)^('W10'!$B$20)*'W10'!$D$9+(1+$M23)^('W10'!$B$20+1)*'W10'!$D$10)/12*'R10'!$E23*'R10'!$G23,0),(IF(AND($S$4="Multi",$R$4="PY"),ROUND($E23*$G23*(1+M23)/12*'W10'!$D$5,0),(IF(AND($S$4&lt;&gt;"Multi",$R$4="FY"),ROUND(((1+$S$4)^('W10'!$B$20)*'W10'!$D$9+(1+$S$4)^('W10'!$B$20+1)*'W10'!$D$10)/12*'R10'!$E23*'R10'!$G23,0),ROUND($E23*$G23*(1+$S$4)/12*'W10'!$D$5,0))))))),(IF(AND($S$4="Multi",$R$4="FY"),ROUND(((1+$M23)^('W10'!$B$20+1)*'W10'!$D$9+(1+$M23)^('W10'!$B$20+2)*'W10'!$D$10)/12*'R10'!$E23*'R10'!$G23,0),(IF(AND($S$4="Multi",$R$4="PY"),ROUND($E23*$G23*(1+M23)/12*'W10'!$D$5,0),(IF(AND($S$4&lt;&gt;"Multi",$R$4="FY"),ROUND(((1+$S$4)^('W10'!$B$20+1)*'W10'!$D$9+(1+$S$4)^('W10'!$B$20+2)*'W10'!$D$10)/12*'R10'!$E23*'R10'!$G23,0),ROUND($E23*$G23*(1+$S$4)/12*'W10'!$D$5,0))))))))</f>
        <v>0</v>
      </c>
      <c r="P23" s="187">
        <f ca="1">IF('W10'!$C$4='W10'!$D$4,(IF(AND($S$4="Multi",$R$4="FY"),ROUND(((1+$M23)^('W10'!$B$20+1)*'W10'!$E$9+(1+$M23)^('W10'!$B$20+2)*'W10'!$E$10)/12*'R10'!$E23*'R10'!H23,0),(IF(AND($S$4="Multi",$R$4="PY"),ROUND($E23*H23*((1+$M23)^2)/12*'W10'!$E$5,0),(IF(AND($S$4&lt;&gt;"Multi",$R$4="FY"),ROUND(((1+$S$4)^('W10'!$B$20+1)*'W10'!$E$9+(1+$S$4)^('W10'!$B$20+2)*'W10'!$E$10)/12*'R10'!$E23*'R10'!H23,0),ROUND($E23*H23*((1+$S$4)^2)/12*'W10'!$E$5,0))))))),(IF(AND($S$4="Multi",$R$4="FY"),ROUND(((1+$M23)^('W10'!$B$20+2)*'W10'!$E$9+(1+$M23)^('W10'!$B$20+3)*'W10'!$E$10)/12*'R10'!$E23*'R10'!H23,0),(IF(AND($S$4="Multi",$R$4="PY"),ROUND($E23*H23*((1+$M23)^2)/12*'W10'!$E$5,0),(IF(AND($S$4&lt;&gt;"Multi",$R$4="FY"),ROUND(((1+$S$4)^('W10'!$B$20+2)*'W10'!$E$9+(1+$S$4)^('W10'!$B$20+3)*'W10'!$E$10)/12*'R10'!$E23*'R10'!H23,0),ROUND($E23*H23*((1+$S$4)^2)/12*'W10'!$E$5,0))))))))</f>
        <v>0</v>
      </c>
      <c r="Q23" s="187">
        <f ca="1">IF('W10'!$C$4='W10'!$D$4,(IF(AND($S$4="Multi",$R$4="FY"),ROUND(((1+$M23)^('W10'!$B$20+2)*'W10'!$F$9+(1+$M23)^('W10'!$B$20+3)*'W10'!$F$10)/12*'R10'!$E23*'R10'!$I23,0),(IF(AND($S$4="Multi",$R$4="PY"),ROUND($E23*$I23*((1+$M23)^3)/12*'W10'!$F$5,0),(IF(AND($S$4&lt;&gt;"Multi",$R$4="FY"),ROUND(((1+$S$4)^('W10'!$B$20+2)*'W10'!$F$9+(1+$S$4)^('W10'!$B$20+3)*'W10'!$F$10)/12*'R10'!$E23*'R10'!$I23,0),ROUND($E23*$I23*((1+$S$4)^3)/12*'W10'!$F$5,0))))))),(IF(AND($S$4="Multi",$R$4="FY"),ROUND(((1+$M23)^('W10'!$B$20+3)*'W10'!$F$9+(1+$M23)^('W10'!$B$20+4)*'W10'!$F$10)/12*'R10'!$E23*'R10'!$I23,0),(IF(AND($S$4="Multi",$R$4="PY"),ROUND($E23*$I23*((1+$M23)^3)/12*'W10'!$F$5,0),(IF(AND($S$4&lt;&gt;"Multi",$R$4="FY"),ROUND(((1+$S$4)^('W10'!$B$20+3)*'W10'!$F$9+(1+$S$4)^('W10'!$B$20+4)*'W10'!$F$10)/12*'R10'!$E23*'R10'!$I23,0),ROUND($E23*$I23*((1+$S$4)^3)/12*'W10'!$F$5,0))))))))</f>
        <v>0</v>
      </c>
      <c r="R23" s="187">
        <f ca="1">IF('W10'!$C$4='W10'!$D$4,(IF(AND($S$4="Multi",$R$4="FY"),ROUND(((1+$M23)^('W10'!$B$20+3)*'W10'!$G$9+(1+$M23)^('W10'!$B$20+4)*'W10'!$G$10)/12*'R10'!$E23*'R10'!$J23,0),(IF(AND($S$4="Multi",$R$4="PY"),ROUND($E23*$J23*((1+$M23)^4)/12*'W10'!$G$5,0),(IF(AND($S$4&lt;&gt;"Multi",$R$4="FY"),ROUND(((1+$S$4)^('W10'!$B$20+3)*'W10'!$G$9+(1+$S$4)^('W10'!$B$20+4)*'W10'!$G$10)/12*'R10'!$E23*'R10'!$J23,0),ROUND($E23*$J23*((1+$S$4)^4)/12*'W10'!$G$5,0))))))),(IF(AND($S$4="Multi",$R$4="FY"),ROUND(((1+$M23)^('W10'!$B$20+4)*'W10'!$G$9+(1+$M23)^('W10'!$B$20+5)*'W10'!$G$10)/12*'R10'!$E23*'R10'!$J23,0),(IF(AND($S$4="Multi",$R$4="PY"),ROUND($E23*$J23*((1+$M23)^4)/12*'W10'!$G$5,0),(IF(AND($S$4&lt;&gt;"Multi",$R$4="FY"),ROUND(((1+$S$4)^('W10'!$B$20+4)*'W10'!$G$9+(1+$S$4)^('W10'!$B$20+5)*'W10'!$G$10)/12*'R10'!$E23*'R10'!$J23,0),ROUND($E23*$J23*((1+$S$4)^4)/12*'W10'!$G$5,0))))))))</f>
        <v>0</v>
      </c>
      <c r="S23" s="188">
        <f t="shared" ca="1" si="0"/>
        <v>0</v>
      </c>
      <c r="T23" s="246"/>
      <c r="U23" s="246"/>
      <c r="V23" s="246"/>
      <c r="W23" s="246"/>
      <c r="X23" s="246"/>
      <c r="Y23" s="247"/>
      <c r="Z23" s="247"/>
      <c r="AA23" s="247"/>
      <c r="AB23" s="247"/>
      <c r="AC23" s="24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idden="1" x14ac:dyDescent="0.2">
      <c r="A24" s="192">
        <v>17</v>
      </c>
      <c r="B24" s="193"/>
      <c r="C24" s="193"/>
      <c r="D24" s="194"/>
      <c r="E24" s="195"/>
      <c r="F24" s="221"/>
      <c r="G24" s="221"/>
      <c r="H24" s="221"/>
      <c r="I24" s="221"/>
      <c r="J24" s="221"/>
      <c r="K24" s="190" t="s">
        <v>176</v>
      </c>
      <c r="L24" s="190">
        <v>12</v>
      </c>
      <c r="M24" s="191">
        <v>0.03</v>
      </c>
      <c r="N24" s="187">
        <f ca="1">IF(AND($S$4="Multi",$R$4="FY"),ROUND(((1+$M24)^'W10'!$B$20*'W10'!$C$9+(1+$M24)^('W10'!$B$20+1)*'W10'!$C$10)/12*'R10'!$E24*'R10'!$F24,0),(IF(AND($S$4="Multi",$R$4="PY"),ROUND(E24*F24/12*'W10'!$C$5,0),(IF(AND($S$4&lt;&gt;"Multi",$R$4="FY"),ROUND(((1+$S$4)^'W10'!$B$20*'W10'!$C$9+(1+$S$4)^('W10'!$B$20+1)*'W10'!$C$10)/12*'R10'!$E24*'R10'!$F24,0),ROUND($E24*$F24/12*'W10'!$C$5,0))))))</f>
        <v>0</v>
      </c>
      <c r="O24" s="187">
        <f ca="1">IF('W10'!$C$4='W10'!$D$4,(IF(AND($S$4="Multi",$R$4="FY"),ROUND(((1+$M24)^('W10'!$B$20)*'W10'!$D$9+(1+$M24)^('W10'!$B$20+1)*'W10'!$D$10)/12*'R10'!$E24*'R10'!$G24,0),(IF(AND($S$4="Multi",$R$4="PY"),ROUND($E24*$G24*(1+M24)/12*'W10'!$D$5,0),(IF(AND($S$4&lt;&gt;"Multi",$R$4="FY"),ROUND(((1+$S$4)^('W10'!$B$20)*'W10'!$D$9+(1+$S$4)^('W10'!$B$20+1)*'W10'!$D$10)/12*'R10'!$E24*'R10'!$G24,0),ROUND($E24*$G24*(1+$S$4)/12*'W10'!$D$5,0))))))),(IF(AND($S$4="Multi",$R$4="FY"),ROUND(((1+$M24)^('W10'!$B$20+1)*'W10'!$D$9+(1+$M24)^('W10'!$B$20+2)*'W10'!$D$10)/12*'R10'!$E24*'R10'!$G24,0),(IF(AND($S$4="Multi",$R$4="PY"),ROUND($E24*$G24*(1+M24)/12*'W10'!$D$5,0),(IF(AND($S$4&lt;&gt;"Multi",$R$4="FY"),ROUND(((1+$S$4)^('W10'!$B$20+1)*'W10'!$D$9+(1+$S$4)^('W10'!$B$20+2)*'W10'!$D$10)/12*'R10'!$E24*'R10'!$G24,0),ROUND($E24*$G24*(1+$S$4)/12*'W10'!$D$5,0))))))))</f>
        <v>0</v>
      </c>
      <c r="P24" s="187">
        <f ca="1">IF('W10'!$C$4='W10'!$D$4,(IF(AND($S$4="Multi",$R$4="FY"),ROUND(((1+$M24)^('W10'!$B$20+1)*'W10'!$E$9+(1+$M24)^('W10'!$B$20+2)*'W10'!$E$10)/12*'R10'!$E24*'R10'!H24,0),(IF(AND($S$4="Multi",$R$4="PY"),ROUND($E24*H24*((1+$M24)^2)/12*'W10'!$E$5,0),(IF(AND($S$4&lt;&gt;"Multi",$R$4="FY"),ROUND(((1+$S$4)^('W10'!$B$20+1)*'W10'!$E$9+(1+$S$4)^('W10'!$B$20+2)*'W10'!$E$10)/12*'R10'!$E24*'R10'!H24,0),ROUND($E24*H24*((1+$S$4)^2)/12*'W10'!$E$5,0))))))),(IF(AND($S$4="Multi",$R$4="FY"),ROUND(((1+$M24)^('W10'!$B$20+2)*'W10'!$E$9+(1+$M24)^('W10'!$B$20+3)*'W10'!$E$10)/12*'R10'!$E24*'R10'!H24,0),(IF(AND($S$4="Multi",$R$4="PY"),ROUND($E24*H24*((1+$M24)^2)/12*'W10'!$E$5,0),(IF(AND($S$4&lt;&gt;"Multi",$R$4="FY"),ROUND(((1+$S$4)^('W10'!$B$20+2)*'W10'!$E$9+(1+$S$4)^('W10'!$B$20+3)*'W10'!$E$10)/12*'R10'!$E24*'R10'!H24,0),ROUND($E24*H24*((1+$S$4)^2)/12*'W10'!$E$5,0))))))))</f>
        <v>0</v>
      </c>
      <c r="Q24" s="187">
        <f ca="1">IF('W10'!$C$4='W10'!$D$4,(IF(AND($S$4="Multi",$R$4="FY"),ROUND(((1+$M24)^('W10'!$B$20+2)*'W10'!$F$9+(1+$M24)^('W10'!$B$20+3)*'W10'!$F$10)/12*'R10'!$E24*'R10'!$I24,0),(IF(AND($S$4="Multi",$R$4="PY"),ROUND($E24*$I24*((1+$M24)^3)/12*'W10'!$F$5,0),(IF(AND($S$4&lt;&gt;"Multi",$R$4="FY"),ROUND(((1+$S$4)^('W10'!$B$20+2)*'W10'!$F$9+(1+$S$4)^('W10'!$B$20+3)*'W10'!$F$10)/12*'R10'!$E24*'R10'!$I24,0),ROUND($E24*$I24*((1+$S$4)^3)/12*'W10'!$F$5,0))))))),(IF(AND($S$4="Multi",$R$4="FY"),ROUND(((1+$M24)^('W10'!$B$20+3)*'W10'!$F$9+(1+$M24)^('W10'!$B$20+4)*'W10'!$F$10)/12*'R10'!$E24*'R10'!$I24,0),(IF(AND($S$4="Multi",$R$4="PY"),ROUND($E24*$I24*((1+$M24)^3)/12*'W10'!$F$5,0),(IF(AND($S$4&lt;&gt;"Multi",$R$4="FY"),ROUND(((1+$S$4)^('W10'!$B$20+3)*'W10'!$F$9+(1+$S$4)^('W10'!$B$20+4)*'W10'!$F$10)/12*'R10'!$E24*'R10'!$I24,0),ROUND($E24*$I24*((1+$S$4)^3)/12*'W10'!$F$5,0))))))))</f>
        <v>0</v>
      </c>
      <c r="R24" s="187">
        <f ca="1">IF('W10'!$C$4='W10'!$D$4,(IF(AND($S$4="Multi",$R$4="FY"),ROUND(((1+$M24)^('W10'!$B$20+3)*'W10'!$G$9+(1+$M24)^('W10'!$B$20+4)*'W10'!$G$10)/12*'R10'!$E24*'R10'!$J24,0),(IF(AND($S$4="Multi",$R$4="PY"),ROUND($E24*$J24*((1+$M24)^4)/12*'W10'!$G$5,0),(IF(AND($S$4&lt;&gt;"Multi",$R$4="FY"),ROUND(((1+$S$4)^('W10'!$B$20+3)*'W10'!$G$9+(1+$S$4)^('W10'!$B$20+4)*'W10'!$G$10)/12*'R10'!$E24*'R10'!$J24,0),ROUND($E24*$J24*((1+$S$4)^4)/12*'W10'!$G$5,0))))))),(IF(AND($S$4="Multi",$R$4="FY"),ROUND(((1+$M24)^('W10'!$B$20+4)*'W10'!$G$9+(1+$M24)^('W10'!$B$20+5)*'W10'!$G$10)/12*'R10'!$E24*'R10'!$J24,0),(IF(AND($S$4="Multi",$R$4="PY"),ROUND($E24*$J24*((1+$M24)^4)/12*'W10'!$G$5,0),(IF(AND($S$4&lt;&gt;"Multi",$R$4="FY"),ROUND(((1+$S$4)^('W10'!$B$20+4)*'W10'!$G$9+(1+$S$4)^('W10'!$B$20+5)*'W10'!$G$10)/12*'R10'!$E24*'R10'!$J24,0),ROUND($E24*$J24*((1+$S$4)^4)/12*'W10'!$G$5,0))))))))</f>
        <v>0</v>
      </c>
      <c r="S24" s="188">
        <f t="shared" ca="1" si="0"/>
        <v>0</v>
      </c>
      <c r="T24" s="246"/>
      <c r="U24" s="246"/>
      <c r="V24" s="246"/>
      <c r="W24" s="246"/>
      <c r="X24" s="246"/>
      <c r="Y24" s="247"/>
      <c r="Z24" s="247"/>
      <c r="AA24" s="247"/>
      <c r="AB24" s="247"/>
      <c r="AC24" s="24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hidden="1" x14ac:dyDescent="0.2">
      <c r="A25" s="192">
        <v>18</v>
      </c>
      <c r="B25" s="193"/>
      <c r="C25" s="193"/>
      <c r="D25" s="194"/>
      <c r="E25" s="195"/>
      <c r="F25" s="221"/>
      <c r="G25" s="221"/>
      <c r="H25" s="221"/>
      <c r="I25" s="221"/>
      <c r="J25" s="221"/>
      <c r="K25" s="190" t="s">
        <v>176</v>
      </c>
      <c r="L25" s="190">
        <v>12</v>
      </c>
      <c r="M25" s="191">
        <v>0.03</v>
      </c>
      <c r="N25" s="187">
        <f ca="1">IF(AND($S$4="Multi",$R$4="FY"),ROUND(((1+$M25)^'W10'!$B$20*'W10'!$C$9+(1+$M25)^('W10'!$B$20+1)*'W10'!$C$10)/12*'R10'!$E25*'R10'!$F25,0),(IF(AND($S$4="Multi",$R$4="PY"),ROUND(E25*F25/12*'W10'!$C$5,0),(IF(AND($S$4&lt;&gt;"Multi",$R$4="FY"),ROUND(((1+$S$4)^'W10'!$B$20*'W10'!$C$9+(1+$S$4)^('W10'!$B$20+1)*'W10'!$C$10)/12*'R10'!$E25*'R10'!$F25,0),ROUND($E25*$F25/12*'W10'!$C$5,0))))))</f>
        <v>0</v>
      </c>
      <c r="O25" s="187">
        <f ca="1">IF('W10'!$C$4='W10'!$D$4,(IF(AND($S$4="Multi",$R$4="FY"),ROUND(((1+$M25)^('W10'!$B$20)*'W10'!$D$9+(1+$M25)^('W10'!$B$20+1)*'W10'!$D$10)/12*'R10'!$E25*'R10'!$G25,0),(IF(AND($S$4="Multi",$R$4="PY"),ROUND($E25*$G25*(1+M25)/12*'W10'!$D$5,0),(IF(AND($S$4&lt;&gt;"Multi",$R$4="FY"),ROUND(((1+$S$4)^('W10'!$B$20)*'W10'!$D$9+(1+$S$4)^('W10'!$B$20+1)*'W10'!$D$10)/12*'R10'!$E25*'R10'!$G25,0),ROUND($E25*$G25*(1+$S$4)/12*'W10'!$D$5,0))))))),(IF(AND($S$4="Multi",$R$4="FY"),ROUND(((1+$M25)^('W10'!$B$20+1)*'W10'!$D$9+(1+$M25)^('W10'!$B$20+2)*'W10'!$D$10)/12*'R10'!$E25*'R10'!$G25,0),(IF(AND($S$4="Multi",$R$4="PY"),ROUND($E25*$G25*(1+M25)/12*'W10'!$D$5,0),(IF(AND($S$4&lt;&gt;"Multi",$R$4="FY"),ROUND(((1+$S$4)^('W10'!$B$20+1)*'W10'!$D$9+(1+$S$4)^('W10'!$B$20+2)*'W10'!$D$10)/12*'R10'!$E25*'R10'!$G25,0),ROUND($E25*$G25*(1+$S$4)/12*'W10'!$D$5,0))))))))</f>
        <v>0</v>
      </c>
      <c r="P25" s="187">
        <f ca="1">IF('W10'!$C$4='W10'!$D$4,(IF(AND($S$4="Multi",$R$4="FY"),ROUND(((1+$M25)^('W10'!$B$20+1)*'W10'!$E$9+(1+$M25)^('W10'!$B$20+2)*'W10'!$E$10)/12*'R10'!$E25*'R10'!H25,0),(IF(AND($S$4="Multi",$R$4="PY"),ROUND($E25*H25*((1+$M25)^2)/12*'W10'!$E$5,0),(IF(AND($S$4&lt;&gt;"Multi",$R$4="FY"),ROUND(((1+$S$4)^('W10'!$B$20+1)*'W10'!$E$9+(1+$S$4)^('W10'!$B$20+2)*'W10'!$E$10)/12*'R10'!$E25*'R10'!H25,0),ROUND($E25*H25*((1+$S$4)^2)/12*'W10'!$E$5,0))))))),(IF(AND($S$4="Multi",$R$4="FY"),ROUND(((1+$M25)^('W10'!$B$20+2)*'W10'!$E$9+(1+$M25)^('W10'!$B$20+3)*'W10'!$E$10)/12*'R10'!$E25*'R10'!H25,0),(IF(AND($S$4="Multi",$R$4="PY"),ROUND($E25*H25*((1+$M25)^2)/12*'W10'!$E$5,0),(IF(AND($S$4&lt;&gt;"Multi",$R$4="FY"),ROUND(((1+$S$4)^('W10'!$B$20+2)*'W10'!$E$9+(1+$S$4)^('W10'!$B$20+3)*'W10'!$E$10)/12*'R10'!$E25*'R10'!H25,0),ROUND($E25*H25*((1+$S$4)^2)/12*'W10'!$E$5,0))))))))</f>
        <v>0</v>
      </c>
      <c r="Q25" s="187">
        <f ca="1">IF('W10'!$C$4='W10'!$D$4,(IF(AND($S$4="Multi",$R$4="FY"),ROUND(((1+$M25)^('W10'!$B$20+2)*'W10'!$F$9+(1+$M25)^('W10'!$B$20+3)*'W10'!$F$10)/12*'R10'!$E25*'R10'!$I25,0),(IF(AND($S$4="Multi",$R$4="PY"),ROUND($E25*$I25*((1+$M25)^3)/12*'W10'!$F$5,0),(IF(AND($S$4&lt;&gt;"Multi",$R$4="FY"),ROUND(((1+$S$4)^('W10'!$B$20+2)*'W10'!$F$9+(1+$S$4)^('W10'!$B$20+3)*'W10'!$F$10)/12*'R10'!$E25*'R10'!$I25,0),ROUND($E25*$I25*((1+$S$4)^3)/12*'W10'!$F$5,0))))))),(IF(AND($S$4="Multi",$R$4="FY"),ROUND(((1+$M25)^('W10'!$B$20+3)*'W10'!$F$9+(1+$M25)^('W10'!$B$20+4)*'W10'!$F$10)/12*'R10'!$E25*'R10'!$I25,0),(IF(AND($S$4="Multi",$R$4="PY"),ROUND($E25*$I25*((1+$M25)^3)/12*'W10'!$F$5,0),(IF(AND($S$4&lt;&gt;"Multi",$R$4="FY"),ROUND(((1+$S$4)^('W10'!$B$20+3)*'W10'!$F$9+(1+$S$4)^('W10'!$B$20+4)*'W10'!$F$10)/12*'R10'!$E25*'R10'!$I25,0),ROUND($E25*$I25*((1+$S$4)^3)/12*'W10'!$F$5,0))))))))</f>
        <v>0</v>
      </c>
      <c r="R25" s="187">
        <f ca="1">IF('W10'!$C$4='W10'!$D$4,(IF(AND($S$4="Multi",$R$4="FY"),ROUND(((1+$M25)^('W10'!$B$20+3)*'W10'!$G$9+(1+$M25)^('W10'!$B$20+4)*'W10'!$G$10)/12*'R10'!$E25*'R10'!$J25,0),(IF(AND($S$4="Multi",$R$4="PY"),ROUND($E25*$J25*((1+$M25)^4)/12*'W10'!$G$5,0),(IF(AND($S$4&lt;&gt;"Multi",$R$4="FY"),ROUND(((1+$S$4)^('W10'!$B$20+3)*'W10'!$G$9+(1+$S$4)^('W10'!$B$20+4)*'W10'!$G$10)/12*'R10'!$E25*'R10'!$J25,0),ROUND($E25*$J25*((1+$S$4)^4)/12*'W10'!$G$5,0))))))),(IF(AND($S$4="Multi",$R$4="FY"),ROUND(((1+$M25)^('W10'!$B$20+4)*'W10'!$G$9+(1+$M25)^('W10'!$B$20+5)*'W10'!$G$10)/12*'R10'!$E25*'R10'!$J25,0),(IF(AND($S$4="Multi",$R$4="PY"),ROUND($E25*$J25*((1+$M25)^4)/12*'W10'!$G$5,0),(IF(AND($S$4&lt;&gt;"Multi",$R$4="FY"),ROUND(((1+$S$4)^('W10'!$B$20+4)*'W10'!$G$9+(1+$S$4)^('W10'!$B$20+5)*'W10'!$G$10)/12*'R10'!$E25*'R10'!$J25,0),ROUND($E25*$J25*((1+$S$4)^4)/12*'W10'!$G$5,0))))))))</f>
        <v>0</v>
      </c>
      <c r="S25" s="188">
        <f t="shared" ca="1" si="0"/>
        <v>0</v>
      </c>
      <c r="T25" s="246"/>
      <c r="U25" s="246"/>
      <c r="V25" s="246"/>
      <c r="W25" s="246"/>
      <c r="X25" s="246"/>
      <c r="Y25" s="247"/>
      <c r="Z25" s="247"/>
      <c r="AA25" s="247"/>
      <c r="AB25" s="247"/>
      <c r="AC25" s="24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hidden="1" x14ac:dyDescent="0.2">
      <c r="A26" s="192">
        <v>19</v>
      </c>
      <c r="B26" s="193"/>
      <c r="C26" s="193"/>
      <c r="D26" s="194"/>
      <c r="E26" s="195"/>
      <c r="F26" s="221"/>
      <c r="G26" s="221"/>
      <c r="H26" s="221"/>
      <c r="I26" s="221"/>
      <c r="J26" s="221"/>
      <c r="K26" s="190" t="s">
        <v>176</v>
      </c>
      <c r="L26" s="190">
        <v>12</v>
      </c>
      <c r="M26" s="191">
        <v>0.03</v>
      </c>
      <c r="N26" s="187">
        <f ca="1">IF(AND($S$4="Multi",$R$4="FY"),ROUND(((1+$M26)^'W10'!$B$20*'W10'!$C$9+(1+$M26)^('W10'!$B$20+1)*'W10'!$C$10)/12*'R10'!$E26*'R10'!$F26,0),(IF(AND($S$4="Multi",$R$4="PY"),ROUND(E26*F26/12*'W10'!$C$5,0),(IF(AND($S$4&lt;&gt;"Multi",$R$4="FY"),ROUND(((1+$S$4)^'W10'!$B$20*'W10'!$C$9+(1+$S$4)^('W10'!$B$20+1)*'W10'!$C$10)/12*'R10'!$E26*'R10'!$F26,0),ROUND($E26*$F26/12*'W10'!$C$5,0))))))</f>
        <v>0</v>
      </c>
      <c r="O26" s="187">
        <f ca="1">IF('W10'!$C$4='W10'!$D$4,(IF(AND($S$4="Multi",$R$4="FY"),ROUND(((1+$M26)^('W10'!$B$20)*'W10'!$D$9+(1+$M26)^('W10'!$B$20+1)*'W10'!$D$10)/12*'R10'!$E26*'R10'!$G26,0),(IF(AND($S$4="Multi",$R$4="PY"),ROUND($E26*$G26*(1+M26)/12*'W10'!$D$5,0),(IF(AND($S$4&lt;&gt;"Multi",$R$4="FY"),ROUND(((1+$S$4)^('W10'!$B$20)*'W10'!$D$9+(1+$S$4)^('W10'!$B$20+1)*'W10'!$D$10)/12*'R10'!$E26*'R10'!$G26,0),ROUND($E26*$G26*(1+$S$4)/12*'W10'!$D$5,0))))))),(IF(AND($S$4="Multi",$R$4="FY"),ROUND(((1+$M26)^('W10'!$B$20+1)*'W10'!$D$9+(1+$M26)^('W10'!$B$20+2)*'W10'!$D$10)/12*'R10'!$E26*'R10'!$G26,0),(IF(AND($S$4="Multi",$R$4="PY"),ROUND($E26*$G26*(1+M26)/12*'W10'!$D$5,0),(IF(AND($S$4&lt;&gt;"Multi",$R$4="FY"),ROUND(((1+$S$4)^('W10'!$B$20+1)*'W10'!$D$9+(1+$S$4)^('W10'!$B$20+2)*'W10'!$D$10)/12*'R10'!$E26*'R10'!$G26,0),ROUND($E26*$G26*(1+$S$4)/12*'W10'!$D$5,0))))))))</f>
        <v>0</v>
      </c>
      <c r="P26" s="187">
        <f ca="1">IF('W10'!$C$4='W10'!$D$4,(IF(AND($S$4="Multi",$R$4="FY"),ROUND(((1+$M26)^('W10'!$B$20+1)*'W10'!$E$9+(1+$M26)^('W10'!$B$20+2)*'W10'!$E$10)/12*'R10'!$E26*'R10'!H26,0),(IF(AND($S$4="Multi",$R$4="PY"),ROUND($E26*H26*((1+$M26)^2)/12*'W10'!$E$5,0),(IF(AND($S$4&lt;&gt;"Multi",$R$4="FY"),ROUND(((1+$S$4)^('W10'!$B$20+1)*'W10'!$E$9+(1+$S$4)^('W10'!$B$20+2)*'W10'!$E$10)/12*'R10'!$E26*'R10'!H26,0),ROUND($E26*H26*((1+$S$4)^2)/12*'W10'!$E$5,0))))))),(IF(AND($S$4="Multi",$R$4="FY"),ROUND(((1+$M26)^('W10'!$B$20+2)*'W10'!$E$9+(1+$M26)^('W10'!$B$20+3)*'W10'!$E$10)/12*'R10'!$E26*'R10'!H26,0),(IF(AND($S$4="Multi",$R$4="PY"),ROUND($E26*H26*((1+$M26)^2)/12*'W10'!$E$5,0),(IF(AND($S$4&lt;&gt;"Multi",$R$4="FY"),ROUND(((1+$S$4)^('W10'!$B$20+2)*'W10'!$E$9+(1+$S$4)^('W10'!$B$20+3)*'W10'!$E$10)/12*'R10'!$E26*'R10'!H26,0),ROUND($E26*H26*((1+$S$4)^2)/12*'W10'!$E$5,0))))))))</f>
        <v>0</v>
      </c>
      <c r="Q26" s="187">
        <f ca="1">IF('W10'!$C$4='W10'!$D$4,(IF(AND($S$4="Multi",$R$4="FY"),ROUND(((1+$M26)^('W10'!$B$20+2)*'W10'!$F$9+(1+$M26)^('W10'!$B$20+3)*'W10'!$F$10)/12*'R10'!$E26*'R10'!$I26,0),(IF(AND($S$4="Multi",$R$4="PY"),ROUND($E26*$I26*((1+$M26)^3)/12*'W10'!$F$5,0),(IF(AND($S$4&lt;&gt;"Multi",$R$4="FY"),ROUND(((1+$S$4)^('W10'!$B$20+2)*'W10'!$F$9+(1+$S$4)^('W10'!$B$20+3)*'W10'!$F$10)/12*'R10'!$E26*'R10'!$I26,0),ROUND($E26*$I26*((1+$S$4)^3)/12*'W10'!$F$5,0))))))),(IF(AND($S$4="Multi",$R$4="FY"),ROUND(((1+$M26)^('W10'!$B$20+3)*'W10'!$F$9+(1+$M26)^('W10'!$B$20+4)*'W10'!$F$10)/12*'R10'!$E26*'R10'!$I26,0),(IF(AND($S$4="Multi",$R$4="PY"),ROUND($E26*$I26*((1+$M26)^3)/12*'W10'!$F$5,0),(IF(AND($S$4&lt;&gt;"Multi",$R$4="FY"),ROUND(((1+$S$4)^('W10'!$B$20+3)*'W10'!$F$9+(1+$S$4)^('W10'!$B$20+4)*'W10'!$F$10)/12*'R10'!$E26*'R10'!$I26,0),ROUND($E26*$I26*((1+$S$4)^3)/12*'W10'!$F$5,0))))))))</f>
        <v>0</v>
      </c>
      <c r="R26" s="187">
        <f ca="1">IF('W10'!$C$4='W10'!$D$4,(IF(AND($S$4="Multi",$R$4="FY"),ROUND(((1+$M26)^('W10'!$B$20+3)*'W10'!$G$9+(1+$M26)^('W10'!$B$20+4)*'W10'!$G$10)/12*'R10'!$E26*'R10'!$J26,0),(IF(AND($S$4="Multi",$R$4="PY"),ROUND($E26*$J26*((1+$M26)^4)/12*'W10'!$G$5,0),(IF(AND($S$4&lt;&gt;"Multi",$R$4="FY"),ROUND(((1+$S$4)^('W10'!$B$20+3)*'W10'!$G$9+(1+$S$4)^('W10'!$B$20+4)*'W10'!$G$10)/12*'R10'!$E26*'R10'!$J26,0),ROUND($E26*$J26*((1+$S$4)^4)/12*'W10'!$G$5,0))))))),(IF(AND($S$4="Multi",$R$4="FY"),ROUND(((1+$M26)^('W10'!$B$20+4)*'W10'!$G$9+(1+$M26)^('W10'!$B$20+5)*'W10'!$G$10)/12*'R10'!$E26*'R10'!$J26,0),(IF(AND($S$4="Multi",$R$4="PY"),ROUND($E26*$J26*((1+$M26)^4)/12*'W10'!$G$5,0),(IF(AND($S$4&lt;&gt;"Multi",$R$4="FY"),ROUND(((1+$S$4)^('W10'!$B$20+4)*'W10'!$G$9+(1+$S$4)^('W10'!$B$20+5)*'W10'!$G$10)/12*'R10'!$E26*'R10'!$J26,0),ROUND($E26*$J26*((1+$S$4)^4)/12*'W10'!$G$5,0))))))))</f>
        <v>0</v>
      </c>
      <c r="S26" s="188">
        <f t="shared" ca="1" si="0"/>
        <v>0</v>
      </c>
      <c r="T26" s="246"/>
      <c r="U26" s="246"/>
      <c r="V26" s="246"/>
      <c r="W26" s="246"/>
      <c r="X26" s="246"/>
      <c r="Y26" s="247"/>
      <c r="Z26" s="247"/>
      <c r="AA26" s="247"/>
      <c r="AB26" s="247"/>
      <c r="AC26" s="24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hidden="1" x14ac:dyDescent="0.2">
      <c r="A27" s="192">
        <v>20</v>
      </c>
      <c r="B27" s="193"/>
      <c r="C27" s="193"/>
      <c r="D27" s="194"/>
      <c r="E27" s="195"/>
      <c r="F27" s="221"/>
      <c r="G27" s="221"/>
      <c r="H27" s="221"/>
      <c r="I27" s="221"/>
      <c r="J27" s="221"/>
      <c r="K27" s="190" t="s">
        <v>176</v>
      </c>
      <c r="L27" s="190">
        <v>12</v>
      </c>
      <c r="M27" s="191">
        <v>0.03</v>
      </c>
      <c r="N27" s="187">
        <f ca="1">IF(AND($S$4="Multi",$R$4="FY"),ROUND(((1+$M27)^'W10'!$B$20*'W10'!$C$9+(1+$M27)^('W10'!$B$20+1)*'W10'!$C$10)/12*'R10'!$E27*'R10'!$F27,0),(IF(AND($S$4="Multi",$R$4="PY"),ROUND(E27*F27/12*'W10'!$C$5,0),(IF(AND($S$4&lt;&gt;"Multi",$R$4="FY"),ROUND(((1+$S$4)^'W10'!$B$20*'W10'!$C$9+(1+$S$4)^('W10'!$B$20+1)*'W10'!$C$10)/12*'R10'!$E27*'R10'!$F27,0),ROUND($E27*$F27/12*'W10'!$C$5,0))))))</f>
        <v>0</v>
      </c>
      <c r="O27" s="187">
        <f ca="1">IF('W10'!$C$4='W10'!$D$4,(IF(AND($S$4="Multi",$R$4="FY"),ROUND(((1+$M27)^('W10'!$B$20)*'W10'!$D$9+(1+$M27)^('W10'!$B$20+1)*'W10'!$D$10)/12*'R10'!$E27*'R10'!$G27,0),(IF(AND($S$4="Multi",$R$4="PY"),ROUND($E27*$G27*(1+M27)/12*'W10'!$D$5,0),(IF(AND($S$4&lt;&gt;"Multi",$R$4="FY"),ROUND(((1+$S$4)^('W10'!$B$20)*'W10'!$D$9+(1+$S$4)^('W10'!$B$20+1)*'W10'!$D$10)/12*'R10'!$E27*'R10'!$G27,0),ROUND($E27*$G27*(1+$S$4)/12*'W10'!$D$5,0))))))),(IF(AND($S$4="Multi",$R$4="FY"),ROUND(((1+$M27)^('W10'!$B$20+1)*'W10'!$D$9+(1+$M27)^('W10'!$B$20+2)*'W10'!$D$10)/12*'R10'!$E27*'R10'!$G27,0),(IF(AND($S$4="Multi",$R$4="PY"),ROUND($E27*$G27*(1+M27)/12*'W10'!$D$5,0),(IF(AND($S$4&lt;&gt;"Multi",$R$4="FY"),ROUND(((1+$S$4)^('W10'!$B$20+1)*'W10'!$D$9+(1+$S$4)^('W10'!$B$20+2)*'W10'!$D$10)/12*'R10'!$E27*'R10'!$G27,0),ROUND($E27*$G27*(1+$S$4)/12*'W10'!$D$5,0))))))))</f>
        <v>0</v>
      </c>
      <c r="P27" s="187">
        <f ca="1">IF('W10'!$C$4='W10'!$D$4,(IF(AND($S$4="Multi",$R$4="FY"),ROUND(((1+$M27)^('W10'!$B$20+1)*'W10'!$E$9+(1+$M27)^('W10'!$B$20+2)*'W10'!$E$10)/12*'R10'!$E27*'R10'!H27,0),(IF(AND($S$4="Multi",$R$4="PY"),ROUND($E27*H27*((1+$M27)^2)/12*'W10'!$E$5,0),(IF(AND($S$4&lt;&gt;"Multi",$R$4="FY"),ROUND(((1+$S$4)^('W10'!$B$20+1)*'W10'!$E$9+(1+$S$4)^('W10'!$B$20+2)*'W10'!$E$10)/12*'R10'!$E27*'R10'!H27,0),ROUND($E27*H27*((1+$S$4)^2)/12*'W10'!$E$5,0))))))),(IF(AND($S$4="Multi",$R$4="FY"),ROUND(((1+$M27)^('W10'!$B$20+2)*'W10'!$E$9+(1+$M27)^('W10'!$B$20+3)*'W10'!$E$10)/12*'R10'!$E27*'R10'!H27,0),(IF(AND($S$4="Multi",$R$4="PY"),ROUND($E27*H27*((1+$M27)^2)/12*'W10'!$E$5,0),(IF(AND($S$4&lt;&gt;"Multi",$R$4="FY"),ROUND(((1+$S$4)^('W10'!$B$20+2)*'W10'!$E$9+(1+$S$4)^('W10'!$B$20+3)*'W10'!$E$10)/12*'R10'!$E27*'R10'!H27,0),ROUND($E27*H27*((1+$S$4)^2)/12*'W10'!$E$5,0))))))))</f>
        <v>0</v>
      </c>
      <c r="Q27" s="187">
        <f ca="1">IF('W10'!$C$4='W10'!$D$4,(IF(AND($S$4="Multi",$R$4="FY"),ROUND(((1+$M27)^('W10'!$B$20+2)*'W10'!$F$9+(1+$M27)^('W10'!$B$20+3)*'W10'!$F$10)/12*'R10'!$E27*'R10'!$I27,0),(IF(AND($S$4="Multi",$R$4="PY"),ROUND($E27*$I27*((1+$M27)^3)/12*'W10'!$F$5,0),(IF(AND($S$4&lt;&gt;"Multi",$R$4="FY"),ROUND(((1+$S$4)^('W10'!$B$20+2)*'W10'!$F$9+(1+$S$4)^('W10'!$B$20+3)*'W10'!$F$10)/12*'R10'!$E27*'R10'!$I27,0),ROUND($E27*$I27*((1+$S$4)^3)/12*'W10'!$F$5,0))))))),(IF(AND($S$4="Multi",$R$4="FY"),ROUND(((1+$M27)^('W10'!$B$20+3)*'W10'!$F$9+(1+$M27)^('W10'!$B$20+4)*'W10'!$F$10)/12*'R10'!$E27*'R10'!$I27,0),(IF(AND($S$4="Multi",$R$4="PY"),ROUND($E27*$I27*((1+$M27)^3)/12*'W10'!$F$5,0),(IF(AND($S$4&lt;&gt;"Multi",$R$4="FY"),ROUND(((1+$S$4)^('W10'!$B$20+3)*'W10'!$F$9+(1+$S$4)^('W10'!$B$20+4)*'W10'!$F$10)/12*'R10'!$E27*'R10'!$I27,0),ROUND($E27*$I27*((1+$S$4)^3)/12*'W10'!$F$5,0))))))))</f>
        <v>0</v>
      </c>
      <c r="R27" s="187">
        <f ca="1">IF('W10'!$C$4='W10'!$D$4,(IF(AND($S$4="Multi",$R$4="FY"),ROUND(((1+$M27)^('W10'!$B$20+3)*'W10'!$G$9+(1+$M27)^('W10'!$B$20+4)*'W10'!$G$10)/12*'R10'!$E27*'R10'!$J27,0),(IF(AND($S$4="Multi",$R$4="PY"),ROUND($E27*$J27*((1+$M27)^4)/12*'W10'!$G$5,0),(IF(AND($S$4&lt;&gt;"Multi",$R$4="FY"),ROUND(((1+$S$4)^('W10'!$B$20+3)*'W10'!$G$9+(1+$S$4)^('W10'!$B$20+4)*'W10'!$G$10)/12*'R10'!$E27*'R10'!$J27,0),ROUND($E27*$J27*((1+$S$4)^4)/12*'W10'!$G$5,0))))))),(IF(AND($S$4="Multi",$R$4="FY"),ROUND(((1+$M27)^('W10'!$B$20+4)*'W10'!$G$9+(1+$M27)^('W10'!$B$20+5)*'W10'!$G$10)/12*'R10'!$E27*'R10'!$J27,0),(IF(AND($S$4="Multi",$R$4="PY"),ROUND($E27*$J27*((1+$M27)^4)/12*'W10'!$G$5,0),(IF(AND($S$4&lt;&gt;"Multi",$R$4="FY"),ROUND(((1+$S$4)^('W10'!$B$20+4)*'W10'!$G$9+(1+$S$4)^('W10'!$B$20+5)*'W10'!$G$10)/12*'R10'!$E27*'R10'!$J27,0),ROUND($E27*$J27*((1+$S$4)^4)/12*'W10'!$G$5,0))))))))</f>
        <v>0</v>
      </c>
      <c r="S27" s="188">
        <f t="shared" ca="1" si="0"/>
        <v>0</v>
      </c>
      <c r="T27" s="246"/>
      <c r="U27" s="246"/>
      <c r="V27" s="246"/>
      <c r="W27" s="246"/>
      <c r="X27" s="246"/>
      <c r="Y27" s="247"/>
      <c r="Z27" s="247"/>
      <c r="AA27" s="247"/>
      <c r="AB27" s="247"/>
      <c r="AC27" s="24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hidden="1" x14ac:dyDescent="0.2">
      <c r="A28" s="192">
        <v>21</v>
      </c>
      <c r="B28" s="193"/>
      <c r="C28" s="193"/>
      <c r="D28" s="194"/>
      <c r="E28" s="195"/>
      <c r="F28" s="221"/>
      <c r="G28" s="221"/>
      <c r="H28" s="221"/>
      <c r="I28" s="221"/>
      <c r="J28" s="221"/>
      <c r="K28" s="190" t="s">
        <v>176</v>
      </c>
      <c r="L28" s="190">
        <v>12</v>
      </c>
      <c r="M28" s="191">
        <v>0.03</v>
      </c>
      <c r="N28" s="187">
        <f ca="1">IF(AND($S$4="Multi",$R$4="FY"),ROUND(((1+$M28)^'W10'!$B$20*'W10'!$C$9+(1+$M28)^('W10'!$B$20+1)*'W10'!$C$10)/12*'R10'!$E28*'R10'!$F28,0),(IF(AND($S$4="Multi",$R$4="PY"),ROUND(E28*F28/12*'W10'!$C$5,0),(IF(AND($S$4&lt;&gt;"Multi",$R$4="FY"),ROUND(((1+$S$4)^'W10'!$B$20*'W10'!$C$9+(1+$S$4)^('W10'!$B$20+1)*'W10'!$C$10)/12*'R10'!$E28*'R10'!$F28,0),ROUND($E28*$F28/12*'W10'!$C$5,0))))))</f>
        <v>0</v>
      </c>
      <c r="O28" s="187">
        <f ca="1">IF('W10'!$C$4='W10'!$D$4,(IF(AND($S$4="Multi",$R$4="FY"),ROUND(((1+$M28)^('W10'!$B$20)*'W10'!$D$9+(1+$M28)^('W10'!$B$20+1)*'W10'!$D$10)/12*'R10'!$E28*'R10'!$G28,0),(IF(AND($S$4="Multi",$R$4="PY"),ROUND($E28*$G28*(1+M28)/12*'W10'!$D$5,0),(IF(AND($S$4&lt;&gt;"Multi",$R$4="FY"),ROUND(((1+$S$4)^('W10'!$B$20)*'W10'!$D$9+(1+$S$4)^('W10'!$B$20+1)*'W10'!$D$10)/12*'R10'!$E28*'R10'!$G28,0),ROUND($E28*$G28*(1+$S$4)/12*'W10'!$D$5,0))))))),(IF(AND($S$4="Multi",$R$4="FY"),ROUND(((1+$M28)^('W10'!$B$20+1)*'W10'!$D$9+(1+$M28)^('W10'!$B$20+2)*'W10'!$D$10)/12*'R10'!$E28*'R10'!$G28,0),(IF(AND($S$4="Multi",$R$4="PY"),ROUND($E28*$G28*(1+M28)/12*'W10'!$D$5,0),(IF(AND($S$4&lt;&gt;"Multi",$R$4="FY"),ROUND(((1+$S$4)^('W10'!$B$20+1)*'W10'!$D$9+(1+$S$4)^('W10'!$B$20+2)*'W10'!$D$10)/12*'R10'!$E28*'R10'!$G28,0),ROUND($E28*$G28*(1+$S$4)/12*'W10'!$D$5,0))))))))</f>
        <v>0</v>
      </c>
      <c r="P28" s="187">
        <f ca="1">IF('W10'!$C$4='W10'!$D$4,(IF(AND($S$4="Multi",$R$4="FY"),ROUND(((1+$M28)^('W10'!$B$20+1)*'W10'!$E$9+(1+$M28)^('W10'!$B$20+2)*'W10'!$E$10)/12*'R10'!$E28*'R10'!H28,0),(IF(AND($S$4="Multi",$R$4="PY"),ROUND($E28*H28*((1+$M28)^2)/12*'W10'!$E$5,0),(IF(AND($S$4&lt;&gt;"Multi",$R$4="FY"),ROUND(((1+$S$4)^('W10'!$B$20+1)*'W10'!$E$9+(1+$S$4)^('W10'!$B$20+2)*'W10'!$E$10)/12*'R10'!$E28*'R10'!H28,0),ROUND($E28*H28*((1+$S$4)^2)/12*'W10'!$E$5,0))))))),(IF(AND($S$4="Multi",$R$4="FY"),ROUND(((1+$M28)^('W10'!$B$20+2)*'W10'!$E$9+(1+$M28)^('W10'!$B$20+3)*'W10'!$E$10)/12*'R10'!$E28*'R10'!H28,0),(IF(AND($S$4="Multi",$R$4="PY"),ROUND($E28*H28*((1+$M28)^2)/12*'W10'!$E$5,0),(IF(AND($S$4&lt;&gt;"Multi",$R$4="FY"),ROUND(((1+$S$4)^('W10'!$B$20+2)*'W10'!$E$9+(1+$S$4)^('W10'!$B$20+3)*'W10'!$E$10)/12*'R10'!$E28*'R10'!H28,0),ROUND($E28*H28*((1+$S$4)^2)/12*'W10'!$E$5,0))))))))</f>
        <v>0</v>
      </c>
      <c r="Q28" s="187">
        <f ca="1">IF('W10'!$C$4='W10'!$D$4,(IF(AND($S$4="Multi",$R$4="FY"),ROUND(((1+$M28)^('W10'!$B$20+2)*'W10'!$F$9+(1+$M28)^('W10'!$B$20+3)*'W10'!$F$10)/12*'R10'!$E28*'R10'!$I28,0),(IF(AND($S$4="Multi",$R$4="PY"),ROUND($E28*$I28*((1+$M28)^3)/12*'W10'!$F$5,0),(IF(AND($S$4&lt;&gt;"Multi",$R$4="FY"),ROUND(((1+$S$4)^('W10'!$B$20+2)*'W10'!$F$9+(1+$S$4)^('W10'!$B$20+3)*'W10'!$F$10)/12*'R10'!$E28*'R10'!$I28,0),ROUND($E28*$I28*((1+$S$4)^3)/12*'W10'!$F$5,0))))))),(IF(AND($S$4="Multi",$R$4="FY"),ROUND(((1+$M28)^('W10'!$B$20+3)*'W10'!$F$9+(1+$M28)^('W10'!$B$20+4)*'W10'!$F$10)/12*'R10'!$E28*'R10'!$I28,0),(IF(AND($S$4="Multi",$R$4="PY"),ROUND($E28*$I28*((1+$M28)^3)/12*'W10'!$F$5,0),(IF(AND($S$4&lt;&gt;"Multi",$R$4="FY"),ROUND(((1+$S$4)^('W10'!$B$20+3)*'W10'!$F$9+(1+$S$4)^('W10'!$B$20+4)*'W10'!$F$10)/12*'R10'!$E28*'R10'!$I28,0),ROUND($E28*$I28*((1+$S$4)^3)/12*'W10'!$F$5,0))))))))</f>
        <v>0</v>
      </c>
      <c r="R28" s="187">
        <f ca="1">IF('W10'!$C$4='W10'!$D$4,(IF(AND($S$4="Multi",$R$4="FY"),ROUND(((1+$M28)^('W10'!$B$20+3)*'W10'!$G$9+(1+$M28)^('W10'!$B$20+4)*'W10'!$G$10)/12*'R10'!$E28*'R10'!$J28,0),(IF(AND($S$4="Multi",$R$4="PY"),ROUND($E28*$J28*((1+$M28)^4)/12*'W10'!$G$5,0),(IF(AND($S$4&lt;&gt;"Multi",$R$4="FY"),ROUND(((1+$S$4)^('W10'!$B$20+3)*'W10'!$G$9+(1+$S$4)^('W10'!$B$20+4)*'W10'!$G$10)/12*'R10'!$E28*'R10'!$J28,0),ROUND($E28*$J28*((1+$S$4)^4)/12*'W10'!$G$5,0))))))),(IF(AND($S$4="Multi",$R$4="FY"),ROUND(((1+$M28)^('W10'!$B$20+4)*'W10'!$G$9+(1+$M28)^('W10'!$B$20+5)*'W10'!$G$10)/12*'R10'!$E28*'R10'!$J28,0),(IF(AND($S$4="Multi",$R$4="PY"),ROUND($E28*$J28*((1+$M28)^4)/12*'W10'!$G$5,0),(IF(AND($S$4&lt;&gt;"Multi",$R$4="FY"),ROUND(((1+$S$4)^('W10'!$B$20+4)*'W10'!$G$9+(1+$S$4)^('W10'!$B$20+5)*'W10'!$G$10)/12*'R10'!$E28*'R10'!$J28,0),ROUND($E28*$J28*((1+$S$4)^4)/12*'W10'!$G$5,0))))))))</f>
        <v>0</v>
      </c>
      <c r="S28" s="188">
        <f t="shared" ca="1" si="0"/>
        <v>0</v>
      </c>
      <c r="T28" s="246"/>
      <c r="U28" s="246"/>
      <c r="V28" s="246"/>
      <c r="W28" s="246"/>
      <c r="X28" s="246"/>
      <c r="Y28" s="247"/>
      <c r="Z28" s="247"/>
      <c r="AA28" s="247"/>
      <c r="AB28" s="247"/>
      <c r="AC28" s="24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hidden="1" x14ac:dyDescent="0.2">
      <c r="A29" s="192">
        <v>22</v>
      </c>
      <c r="B29" s="193"/>
      <c r="C29" s="193"/>
      <c r="D29" s="194"/>
      <c r="E29" s="195"/>
      <c r="F29" s="221"/>
      <c r="G29" s="221"/>
      <c r="H29" s="221"/>
      <c r="I29" s="221"/>
      <c r="J29" s="221"/>
      <c r="K29" s="190" t="s">
        <v>176</v>
      </c>
      <c r="L29" s="190">
        <v>12</v>
      </c>
      <c r="M29" s="191">
        <v>0.03</v>
      </c>
      <c r="N29" s="187">
        <f ca="1">IF(AND($S$4="Multi",$R$4="FY"),ROUND(((1+$M29)^'W10'!$B$20*'W10'!$C$9+(1+$M29)^('W10'!$B$20+1)*'W10'!$C$10)/12*'R10'!$E29*'R10'!$F29,0),(IF(AND($S$4="Multi",$R$4="PY"),ROUND(E29*F29/12*'W10'!$C$5,0),(IF(AND($S$4&lt;&gt;"Multi",$R$4="FY"),ROUND(((1+$S$4)^'W10'!$B$20*'W10'!$C$9+(1+$S$4)^('W10'!$B$20+1)*'W10'!$C$10)/12*'R10'!$E29*'R10'!$F29,0),ROUND($E29*$F29/12*'W10'!$C$5,0))))))</f>
        <v>0</v>
      </c>
      <c r="O29" s="187">
        <f ca="1">IF('W10'!$C$4='W10'!$D$4,(IF(AND($S$4="Multi",$R$4="FY"),ROUND(((1+$M29)^('W10'!$B$20)*'W10'!$D$9+(1+$M29)^('W10'!$B$20+1)*'W10'!$D$10)/12*'R10'!$E29*'R10'!$G29,0),(IF(AND($S$4="Multi",$R$4="PY"),ROUND($E29*$G29*(1+M29)/12*'W10'!$D$5,0),(IF(AND($S$4&lt;&gt;"Multi",$R$4="FY"),ROUND(((1+$S$4)^('W10'!$B$20)*'W10'!$D$9+(1+$S$4)^('W10'!$B$20+1)*'W10'!$D$10)/12*'R10'!$E29*'R10'!$G29,0),ROUND($E29*$G29*(1+$S$4)/12*'W10'!$D$5,0))))))),(IF(AND($S$4="Multi",$R$4="FY"),ROUND(((1+$M29)^('W10'!$B$20+1)*'W10'!$D$9+(1+$M29)^('W10'!$B$20+2)*'W10'!$D$10)/12*'R10'!$E29*'R10'!$G29,0),(IF(AND($S$4="Multi",$R$4="PY"),ROUND($E29*$G29*(1+M29)/12*'W10'!$D$5,0),(IF(AND($S$4&lt;&gt;"Multi",$R$4="FY"),ROUND(((1+$S$4)^('W10'!$B$20+1)*'W10'!$D$9+(1+$S$4)^('W10'!$B$20+2)*'W10'!$D$10)/12*'R10'!$E29*'R10'!$G29,0),ROUND($E29*$G29*(1+$S$4)/12*'W10'!$D$5,0))))))))</f>
        <v>0</v>
      </c>
      <c r="P29" s="187">
        <f ca="1">IF('W10'!$C$4='W10'!$D$4,(IF(AND($S$4="Multi",$R$4="FY"),ROUND(((1+$M29)^('W10'!$B$20+1)*'W10'!$E$9+(1+$M29)^('W10'!$B$20+2)*'W10'!$E$10)/12*'R10'!$E29*'R10'!H29,0),(IF(AND($S$4="Multi",$R$4="PY"),ROUND($E29*H29*((1+$M29)^2)/12*'W10'!$E$5,0),(IF(AND($S$4&lt;&gt;"Multi",$R$4="FY"),ROUND(((1+$S$4)^('W10'!$B$20+1)*'W10'!$E$9+(1+$S$4)^('W10'!$B$20+2)*'W10'!$E$10)/12*'R10'!$E29*'R10'!H29,0),ROUND($E29*H29*((1+$S$4)^2)/12*'W10'!$E$5,0))))))),(IF(AND($S$4="Multi",$R$4="FY"),ROUND(((1+$M29)^('W10'!$B$20+2)*'W10'!$E$9+(1+$M29)^('W10'!$B$20+3)*'W10'!$E$10)/12*'R10'!$E29*'R10'!H29,0),(IF(AND($S$4="Multi",$R$4="PY"),ROUND($E29*H29*((1+$M29)^2)/12*'W10'!$E$5,0),(IF(AND($S$4&lt;&gt;"Multi",$R$4="FY"),ROUND(((1+$S$4)^('W10'!$B$20+2)*'W10'!$E$9+(1+$S$4)^('W10'!$B$20+3)*'W10'!$E$10)/12*'R10'!$E29*'R10'!H29,0),ROUND($E29*H29*((1+$S$4)^2)/12*'W10'!$E$5,0))))))))</f>
        <v>0</v>
      </c>
      <c r="Q29" s="187">
        <f ca="1">IF('W10'!$C$4='W10'!$D$4,(IF(AND($S$4="Multi",$R$4="FY"),ROUND(((1+$M29)^('W10'!$B$20+2)*'W10'!$F$9+(1+$M29)^('W10'!$B$20+3)*'W10'!$F$10)/12*'R10'!$E29*'R10'!$I29,0),(IF(AND($S$4="Multi",$R$4="PY"),ROUND($E29*$I29*((1+$M29)^3)/12*'W10'!$F$5,0),(IF(AND($S$4&lt;&gt;"Multi",$R$4="FY"),ROUND(((1+$S$4)^('W10'!$B$20+2)*'W10'!$F$9+(1+$S$4)^('W10'!$B$20+3)*'W10'!$F$10)/12*'R10'!$E29*'R10'!$I29,0),ROUND($E29*$I29*((1+$S$4)^3)/12*'W10'!$F$5,0))))))),(IF(AND($S$4="Multi",$R$4="FY"),ROUND(((1+$M29)^('W10'!$B$20+3)*'W10'!$F$9+(1+$M29)^('W10'!$B$20+4)*'W10'!$F$10)/12*'R10'!$E29*'R10'!$I29,0),(IF(AND($S$4="Multi",$R$4="PY"),ROUND($E29*$I29*((1+$M29)^3)/12*'W10'!$F$5,0),(IF(AND($S$4&lt;&gt;"Multi",$R$4="FY"),ROUND(((1+$S$4)^('W10'!$B$20+3)*'W10'!$F$9+(1+$S$4)^('W10'!$B$20+4)*'W10'!$F$10)/12*'R10'!$E29*'R10'!$I29,0),ROUND($E29*$I29*((1+$S$4)^3)/12*'W10'!$F$5,0))))))))</f>
        <v>0</v>
      </c>
      <c r="R29" s="187">
        <f ca="1">IF('W10'!$C$4='W10'!$D$4,(IF(AND($S$4="Multi",$R$4="FY"),ROUND(((1+$M29)^('W10'!$B$20+3)*'W10'!$G$9+(1+$M29)^('W10'!$B$20+4)*'W10'!$G$10)/12*'R10'!$E29*'R10'!$J29,0),(IF(AND($S$4="Multi",$R$4="PY"),ROUND($E29*$J29*((1+$M29)^4)/12*'W10'!$G$5,0),(IF(AND($S$4&lt;&gt;"Multi",$R$4="FY"),ROUND(((1+$S$4)^('W10'!$B$20+3)*'W10'!$G$9+(1+$S$4)^('W10'!$B$20+4)*'W10'!$G$10)/12*'R10'!$E29*'R10'!$J29,0),ROUND($E29*$J29*((1+$S$4)^4)/12*'W10'!$G$5,0))))))),(IF(AND($S$4="Multi",$R$4="FY"),ROUND(((1+$M29)^('W10'!$B$20+4)*'W10'!$G$9+(1+$M29)^('W10'!$B$20+5)*'W10'!$G$10)/12*'R10'!$E29*'R10'!$J29,0),(IF(AND($S$4="Multi",$R$4="PY"),ROUND($E29*$J29*((1+$M29)^4)/12*'W10'!$G$5,0),(IF(AND($S$4&lt;&gt;"Multi",$R$4="FY"),ROUND(((1+$S$4)^('W10'!$B$20+4)*'W10'!$G$9+(1+$S$4)^('W10'!$B$20+5)*'W10'!$G$10)/12*'R10'!$E29*'R10'!$J29,0),ROUND($E29*$J29*((1+$S$4)^4)/12*'W10'!$G$5,0))))))))</f>
        <v>0</v>
      </c>
      <c r="S29" s="188">
        <f t="shared" ca="1" si="0"/>
        <v>0</v>
      </c>
      <c r="T29" s="246"/>
      <c r="U29" s="246"/>
      <c r="V29" s="246"/>
      <c r="W29" s="246"/>
      <c r="X29" s="246"/>
      <c r="Y29" s="247"/>
      <c r="Z29" s="247"/>
      <c r="AA29" s="247"/>
      <c r="AB29" s="247"/>
      <c r="AC29" s="24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hidden="1" x14ac:dyDescent="0.2">
      <c r="A30" s="192">
        <v>23</v>
      </c>
      <c r="B30" s="193"/>
      <c r="C30" s="193"/>
      <c r="D30" s="194"/>
      <c r="E30" s="195"/>
      <c r="F30" s="221"/>
      <c r="G30" s="221"/>
      <c r="H30" s="221"/>
      <c r="I30" s="221"/>
      <c r="J30" s="221"/>
      <c r="K30" s="190" t="s">
        <v>176</v>
      </c>
      <c r="L30" s="190">
        <v>12</v>
      </c>
      <c r="M30" s="191">
        <v>0.03</v>
      </c>
      <c r="N30" s="187">
        <f ca="1">IF(AND($S$4="Multi",$R$4="FY"),ROUND(((1+$M30)^'W10'!$B$20*'W10'!$C$9+(1+$M30)^('W10'!$B$20+1)*'W10'!$C$10)/12*'R10'!$E30*'R10'!$F30,0),(IF(AND($S$4="Multi",$R$4="PY"),ROUND(E30*F30/12*'W10'!$C$5,0),(IF(AND($S$4&lt;&gt;"Multi",$R$4="FY"),ROUND(((1+$S$4)^'W10'!$B$20*'W10'!$C$9+(1+$S$4)^('W10'!$B$20+1)*'W10'!$C$10)/12*'R10'!$E30*'R10'!$F30,0),ROUND($E30*$F30/12*'W10'!$C$5,0))))))</f>
        <v>0</v>
      </c>
      <c r="O30" s="187">
        <f ca="1">IF('W10'!$C$4='W10'!$D$4,(IF(AND($S$4="Multi",$R$4="FY"),ROUND(((1+$M30)^('W10'!$B$20)*'W10'!$D$9+(1+$M30)^('W10'!$B$20+1)*'W10'!$D$10)/12*'R10'!$E30*'R10'!$G30,0),(IF(AND($S$4="Multi",$R$4="PY"),ROUND($E30*$G30*(1+M30)/12*'W10'!$D$5,0),(IF(AND($S$4&lt;&gt;"Multi",$R$4="FY"),ROUND(((1+$S$4)^('W10'!$B$20)*'W10'!$D$9+(1+$S$4)^('W10'!$B$20+1)*'W10'!$D$10)/12*'R10'!$E30*'R10'!$G30,0),ROUND($E30*$G30*(1+$S$4)/12*'W10'!$D$5,0))))))),(IF(AND($S$4="Multi",$R$4="FY"),ROUND(((1+$M30)^('W10'!$B$20+1)*'W10'!$D$9+(1+$M30)^('W10'!$B$20+2)*'W10'!$D$10)/12*'R10'!$E30*'R10'!$G30,0),(IF(AND($S$4="Multi",$R$4="PY"),ROUND($E30*$G30*(1+M30)/12*'W10'!$D$5,0),(IF(AND($S$4&lt;&gt;"Multi",$R$4="FY"),ROUND(((1+$S$4)^('W10'!$B$20+1)*'W10'!$D$9+(1+$S$4)^('W10'!$B$20+2)*'W10'!$D$10)/12*'R10'!$E30*'R10'!$G30,0),ROUND($E30*$G30*(1+$S$4)/12*'W10'!$D$5,0))))))))</f>
        <v>0</v>
      </c>
      <c r="P30" s="187">
        <f ca="1">IF('W10'!$C$4='W10'!$D$4,(IF(AND($S$4="Multi",$R$4="FY"),ROUND(((1+$M30)^('W10'!$B$20+1)*'W10'!$E$9+(1+$M30)^('W10'!$B$20+2)*'W10'!$E$10)/12*'R10'!$E30*'R10'!H30,0),(IF(AND($S$4="Multi",$R$4="PY"),ROUND($E30*H30*((1+$M30)^2)/12*'W10'!$E$5,0),(IF(AND($S$4&lt;&gt;"Multi",$R$4="FY"),ROUND(((1+$S$4)^('W10'!$B$20+1)*'W10'!$E$9+(1+$S$4)^('W10'!$B$20+2)*'W10'!$E$10)/12*'R10'!$E30*'R10'!H30,0),ROUND($E30*H30*((1+$S$4)^2)/12*'W10'!$E$5,0))))))),(IF(AND($S$4="Multi",$R$4="FY"),ROUND(((1+$M30)^('W10'!$B$20+2)*'W10'!$E$9+(1+$M30)^('W10'!$B$20+3)*'W10'!$E$10)/12*'R10'!$E30*'R10'!H30,0),(IF(AND($S$4="Multi",$R$4="PY"),ROUND($E30*H30*((1+$M30)^2)/12*'W10'!$E$5,0),(IF(AND($S$4&lt;&gt;"Multi",$R$4="FY"),ROUND(((1+$S$4)^('W10'!$B$20+2)*'W10'!$E$9+(1+$S$4)^('W10'!$B$20+3)*'W10'!$E$10)/12*'R10'!$E30*'R10'!H30,0),ROUND($E30*H30*((1+$S$4)^2)/12*'W10'!$E$5,0))))))))</f>
        <v>0</v>
      </c>
      <c r="Q30" s="187">
        <f ca="1">IF('W10'!$C$4='W10'!$D$4,(IF(AND($S$4="Multi",$R$4="FY"),ROUND(((1+$M30)^('W10'!$B$20+2)*'W10'!$F$9+(1+$M30)^('W10'!$B$20+3)*'W10'!$F$10)/12*'R10'!$E30*'R10'!$I30,0),(IF(AND($S$4="Multi",$R$4="PY"),ROUND($E30*$I30*((1+$M30)^3)/12*'W10'!$F$5,0),(IF(AND($S$4&lt;&gt;"Multi",$R$4="FY"),ROUND(((1+$S$4)^('W10'!$B$20+2)*'W10'!$F$9+(1+$S$4)^('W10'!$B$20+3)*'W10'!$F$10)/12*'R10'!$E30*'R10'!$I30,0),ROUND($E30*$I30*((1+$S$4)^3)/12*'W10'!$F$5,0))))))),(IF(AND($S$4="Multi",$R$4="FY"),ROUND(((1+$M30)^('W10'!$B$20+3)*'W10'!$F$9+(1+$M30)^('W10'!$B$20+4)*'W10'!$F$10)/12*'R10'!$E30*'R10'!$I30,0),(IF(AND($S$4="Multi",$R$4="PY"),ROUND($E30*$I30*((1+$M30)^3)/12*'W10'!$F$5,0),(IF(AND($S$4&lt;&gt;"Multi",$R$4="FY"),ROUND(((1+$S$4)^('W10'!$B$20+3)*'W10'!$F$9+(1+$S$4)^('W10'!$B$20+4)*'W10'!$F$10)/12*'R10'!$E30*'R10'!$I30,0),ROUND($E30*$I30*((1+$S$4)^3)/12*'W10'!$F$5,0))))))))</f>
        <v>0</v>
      </c>
      <c r="R30" s="187">
        <f ca="1">IF('W10'!$C$4='W10'!$D$4,(IF(AND($S$4="Multi",$R$4="FY"),ROUND(((1+$M30)^('W10'!$B$20+3)*'W10'!$G$9+(1+$M30)^('W10'!$B$20+4)*'W10'!$G$10)/12*'R10'!$E30*'R10'!$J30,0),(IF(AND($S$4="Multi",$R$4="PY"),ROUND($E30*$J30*((1+$M30)^4)/12*'W10'!$G$5,0),(IF(AND($S$4&lt;&gt;"Multi",$R$4="FY"),ROUND(((1+$S$4)^('W10'!$B$20+3)*'W10'!$G$9+(1+$S$4)^('W10'!$B$20+4)*'W10'!$G$10)/12*'R10'!$E30*'R10'!$J30,0),ROUND($E30*$J30*((1+$S$4)^4)/12*'W10'!$G$5,0))))))),(IF(AND($S$4="Multi",$R$4="FY"),ROUND(((1+$M30)^('W10'!$B$20+4)*'W10'!$G$9+(1+$M30)^('W10'!$B$20+5)*'W10'!$G$10)/12*'R10'!$E30*'R10'!$J30,0),(IF(AND($S$4="Multi",$R$4="PY"),ROUND($E30*$J30*((1+$M30)^4)/12*'W10'!$G$5,0),(IF(AND($S$4&lt;&gt;"Multi",$R$4="FY"),ROUND(((1+$S$4)^('W10'!$B$20+4)*'W10'!$G$9+(1+$S$4)^('W10'!$B$20+5)*'W10'!$G$10)/12*'R10'!$E30*'R10'!$J30,0),ROUND($E30*$J30*((1+$S$4)^4)/12*'W10'!$G$5,0))))))))</f>
        <v>0</v>
      </c>
      <c r="S30" s="188">
        <f t="shared" ca="1" si="0"/>
        <v>0</v>
      </c>
      <c r="T30" s="246"/>
      <c r="U30" s="246"/>
      <c r="V30" s="246"/>
      <c r="W30" s="246"/>
      <c r="X30" s="246"/>
      <c r="Y30" s="247"/>
      <c r="Z30" s="247"/>
      <c r="AA30" s="247"/>
      <c r="AB30" s="247"/>
      <c r="AC30" s="24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hidden="1" x14ac:dyDescent="0.2">
      <c r="A31" s="192">
        <v>24</v>
      </c>
      <c r="B31" s="193"/>
      <c r="C31" s="193"/>
      <c r="D31" s="194"/>
      <c r="E31" s="195"/>
      <c r="F31" s="221"/>
      <c r="G31" s="221"/>
      <c r="H31" s="221"/>
      <c r="I31" s="221"/>
      <c r="J31" s="221"/>
      <c r="K31" s="190" t="s">
        <v>176</v>
      </c>
      <c r="L31" s="190">
        <v>12</v>
      </c>
      <c r="M31" s="191">
        <v>0.03</v>
      </c>
      <c r="N31" s="187">
        <f ca="1">IF(AND($S$4="Multi",$R$4="FY"),ROUND(((1+$M31)^'W10'!$B$20*'W10'!$C$9+(1+$M31)^('W10'!$B$20+1)*'W10'!$C$10)/12*'R10'!$E31*'R10'!$F31,0),(IF(AND($S$4="Multi",$R$4="PY"),ROUND(E31*F31/12*'W10'!$C$5,0),(IF(AND($S$4&lt;&gt;"Multi",$R$4="FY"),ROUND(((1+$S$4)^'W10'!$B$20*'W10'!$C$9+(1+$S$4)^('W10'!$B$20+1)*'W10'!$C$10)/12*'R10'!$E31*'R10'!$F31,0),ROUND($E31*$F31/12*'W10'!$C$5,0))))))</f>
        <v>0</v>
      </c>
      <c r="O31" s="187">
        <f ca="1">IF('W10'!$C$4='W10'!$D$4,(IF(AND($S$4="Multi",$R$4="FY"),ROUND(((1+$M31)^('W10'!$B$20)*'W10'!$D$9+(1+$M31)^('W10'!$B$20+1)*'W10'!$D$10)/12*'R10'!$E31*'R10'!$G31,0),(IF(AND($S$4="Multi",$R$4="PY"),ROUND($E31*$G31*(1+M31)/12*'W10'!$D$5,0),(IF(AND($S$4&lt;&gt;"Multi",$R$4="FY"),ROUND(((1+$S$4)^('W10'!$B$20)*'W10'!$D$9+(1+$S$4)^('W10'!$B$20+1)*'W10'!$D$10)/12*'R10'!$E31*'R10'!$G31,0),ROUND($E31*$G31*(1+$S$4)/12*'W10'!$D$5,0))))))),(IF(AND($S$4="Multi",$R$4="FY"),ROUND(((1+$M31)^('W10'!$B$20+1)*'W10'!$D$9+(1+$M31)^('W10'!$B$20+2)*'W10'!$D$10)/12*'R10'!$E31*'R10'!$G31,0),(IF(AND($S$4="Multi",$R$4="PY"),ROUND($E31*$G31*(1+M31)/12*'W10'!$D$5,0),(IF(AND($S$4&lt;&gt;"Multi",$R$4="FY"),ROUND(((1+$S$4)^('W10'!$B$20+1)*'W10'!$D$9+(1+$S$4)^('W10'!$B$20+2)*'W10'!$D$10)/12*'R10'!$E31*'R10'!$G31,0),ROUND($E31*$G31*(1+$S$4)/12*'W10'!$D$5,0))))))))</f>
        <v>0</v>
      </c>
      <c r="P31" s="187">
        <f ca="1">IF('W10'!$C$4='W10'!$D$4,(IF(AND($S$4="Multi",$R$4="FY"),ROUND(((1+$M31)^('W10'!$B$20+1)*'W10'!$E$9+(1+$M31)^('W10'!$B$20+2)*'W10'!$E$10)/12*'R10'!$E31*'R10'!H31,0),(IF(AND($S$4="Multi",$R$4="PY"),ROUND($E31*H31*((1+$M31)^2)/12*'W10'!$E$5,0),(IF(AND($S$4&lt;&gt;"Multi",$R$4="FY"),ROUND(((1+$S$4)^('W10'!$B$20+1)*'W10'!$E$9+(1+$S$4)^('W10'!$B$20+2)*'W10'!$E$10)/12*'R10'!$E31*'R10'!H31,0),ROUND($E31*H31*((1+$S$4)^2)/12*'W10'!$E$5,0))))))),(IF(AND($S$4="Multi",$R$4="FY"),ROUND(((1+$M31)^('W10'!$B$20+2)*'W10'!$E$9+(1+$M31)^('W10'!$B$20+3)*'W10'!$E$10)/12*'R10'!$E31*'R10'!H31,0),(IF(AND($S$4="Multi",$R$4="PY"),ROUND($E31*H31*((1+$M31)^2)/12*'W10'!$E$5,0),(IF(AND($S$4&lt;&gt;"Multi",$R$4="FY"),ROUND(((1+$S$4)^('W10'!$B$20+2)*'W10'!$E$9+(1+$S$4)^('W10'!$B$20+3)*'W10'!$E$10)/12*'R10'!$E31*'R10'!H31,0),ROUND($E31*H31*((1+$S$4)^2)/12*'W10'!$E$5,0))))))))</f>
        <v>0</v>
      </c>
      <c r="Q31" s="187">
        <f ca="1">IF('W10'!$C$4='W10'!$D$4,(IF(AND($S$4="Multi",$R$4="FY"),ROUND(((1+$M31)^('W10'!$B$20+2)*'W10'!$F$9+(1+$M31)^('W10'!$B$20+3)*'W10'!$F$10)/12*'R10'!$E31*'R10'!$I31,0),(IF(AND($S$4="Multi",$R$4="PY"),ROUND($E31*$I31*((1+$M31)^3)/12*'W10'!$F$5,0),(IF(AND($S$4&lt;&gt;"Multi",$R$4="FY"),ROUND(((1+$S$4)^('W10'!$B$20+2)*'W10'!$F$9+(1+$S$4)^('W10'!$B$20+3)*'W10'!$F$10)/12*'R10'!$E31*'R10'!$I31,0),ROUND($E31*$I31*((1+$S$4)^3)/12*'W10'!$F$5,0))))))),(IF(AND($S$4="Multi",$R$4="FY"),ROUND(((1+$M31)^('W10'!$B$20+3)*'W10'!$F$9+(1+$M31)^('W10'!$B$20+4)*'W10'!$F$10)/12*'R10'!$E31*'R10'!$I31,0),(IF(AND($S$4="Multi",$R$4="PY"),ROUND($E31*$I31*((1+$M31)^3)/12*'W10'!$F$5,0),(IF(AND($S$4&lt;&gt;"Multi",$R$4="FY"),ROUND(((1+$S$4)^('W10'!$B$20+3)*'W10'!$F$9+(1+$S$4)^('W10'!$B$20+4)*'W10'!$F$10)/12*'R10'!$E31*'R10'!$I31,0),ROUND($E31*$I31*((1+$S$4)^3)/12*'W10'!$F$5,0))))))))</f>
        <v>0</v>
      </c>
      <c r="R31" s="187">
        <f ca="1">IF('W10'!$C$4='W10'!$D$4,(IF(AND($S$4="Multi",$R$4="FY"),ROUND(((1+$M31)^('W10'!$B$20+3)*'W10'!$G$9+(1+$M31)^('W10'!$B$20+4)*'W10'!$G$10)/12*'R10'!$E31*'R10'!$J31,0),(IF(AND($S$4="Multi",$R$4="PY"),ROUND($E31*$J31*((1+$M31)^4)/12*'W10'!$G$5,0),(IF(AND($S$4&lt;&gt;"Multi",$R$4="FY"),ROUND(((1+$S$4)^('W10'!$B$20+3)*'W10'!$G$9+(1+$S$4)^('W10'!$B$20+4)*'W10'!$G$10)/12*'R10'!$E31*'R10'!$J31,0),ROUND($E31*$J31*((1+$S$4)^4)/12*'W10'!$G$5,0))))))),(IF(AND($S$4="Multi",$R$4="FY"),ROUND(((1+$M31)^('W10'!$B$20+4)*'W10'!$G$9+(1+$M31)^('W10'!$B$20+5)*'W10'!$G$10)/12*'R10'!$E31*'R10'!$J31,0),(IF(AND($S$4="Multi",$R$4="PY"),ROUND($E31*$J31*((1+$M31)^4)/12*'W10'!$G$5,0),(IF(AND($S$4&lt;&gt;"Multi",$R$4="FY"),ROUND(((1+$S$4)^('W10'!$B$20+4)*'W10'!$G$9+(1+$S$4)^('W10'!$B$20+5)*'W10'!$G$10)/12*'R10'!$E31*'R10'!$J31,0),ROUND($E31*$J31*((1+$S$4)^4)/12*'W10'!$G$5,0))))))))</f>
        <v>0</v>
      </c>
      <c r="S31" s="188">
        <f t="shared" ca="1" si="0"/>
        <v>0</v>
      </c>
      <c r="T31" s="246"/>
      <c r="U31" s="246"/>
      <c r="V31" s="246"/>
      <c r="W31" s="246"/>
      <c r="X31" s="246"/>
      <c r="Y31" s="247"/>
      <c r="Z31" s="247"/>
      <c r="AA31" s="247"/>
      <c r="AB31" s="247"/>
      <c r="AC31" s="24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x14ac:dyDescent="0.2">
      <c r="A32" s="360" t="s">
        <v>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189">
        <f ca="1">SUM(N8:N31)</f>
        <v>0</v>
      </c>
      <c r="O32" s="189">
        <f ca="1">SUM(O8:O31)</f>
        <v>0</v>
      </c>
      <c r="P32" s="189">
        <f t="shared" ref="P32:Q32" ca="1" si="1">SUM(P8:P31)</f>
        <v>0</v>
      </c>
      <c r="Q32" s="189">
        <f t="shared" ca="1" si="1"/>
        <v>0</v>
      </c>
      <c r="R32" s="189">
        <f ca="1">SUM(R8:R31)</f>
        <v>0</v>
      </c>
      <c r="S32" s="189">
        <f ca="1">SUM(S8:S31)</f>
        <v>0</v>
      </c>
      <c r="T32" s="249"/>
      <c r="U32" s="249"/>
      <c r="V32" s="249"/>
      <c r="W32" s="249"/>
      <c r="X32" s="249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51" ht="9" customHeight="1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51" x14ac:dyDescent="0.2">
      <c r="D34" s="101" t="s">
        <v>177</v>
      </c>
      <c r="E34" s="266" t="str">
        <f>'W10'!C9&amp;"/"&amp;'W10'!C10</f>
        <v>9/3</v>
      </c>
      <c r="F34" s="383" t="str">
        <f>'W10'!D9&amp;"/"&amp;'W10'!D10</f>
        <v>9/3</v>
      </c>
      <c r="G34" s="383"/>
      <c r="H34" s="383" t="str">
        <f>'W10'!E9&amp;"/"&amp;'W10'!E10</f>
        <v>9/3</v>
      </c>
      <c r="I34" s="383"/>
      <c r="J34" s="383" t="str">
        <f>'W10'!F9&amp;"/"&amp;'W10'!F10</f>
        <v>9/3</v>
      </c>
      <c r="K34" s="383"/>
      <c r="L34" s="383" t="str">
        <f>'W10'!G9&amp;"/"&amp;'W10'!G10</f>
        <v>9/3</v>
      </c>
      <c r="M34" s="383"/>
      <c r="Q34" s="356" t="s">
        <v>152</v>
      </c>
      <c r="R34" s="357"/>
      <c r="S34" s="230" t="s">
        <v>150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51" x14ac:dyDescent="0.2">
      <c r="A35" s="386" t="s">
        <v>17</v>
      </c>
      <c r="B35" s="387"/>
      <c r="C35" s="388"/>
      <c r="D35" s="264" t="s">
        <v>6</v>
      </c>
      <c r="E35" s="264" t="s">
        <v>18</v>
      </c>
      <c r="F35" s="389" t="s">
        <v>18</v>
      </c>
      <c r="G35" s="390"/>
      <c r="H35" s="389" t="s">
        <v>18</v>
      </c>
      <c r="I35" s="390"/>
      <c r="J35" s="389" t="s">
        <v>18</v>
      </c>
      <c r="K35" s="390"/>
      <c r="L35" s="389" t="s">
        <v>18</v>
      </c>
      <c r="M35" s="390"/>
      <c r="N35" s="50" t="str">
        <f>N5</f>
        <v>Period 1</v>
      </c>
      <c r="O35" s="50" t="str">
        <f>O5</f>
        <v>Period 2</v>
      </c>
      <c r="P35" s="50" t="str">
        <f>P5</f>
        <v>Period 3</v>
      </c>
      <c r="Q35" s="50" t="str">
        <f>Q5</f>
        <v>Period 4</v>
      </c>
      <c r="R35" s="50" t="str">
        <f>R5</f>
        <v>Period 5</v>
      </c>
      <c r="S35" s="50" t="s">
        <v>13</v>
      </c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</row>
    <row r="36" spans="1:51" x14ac:dyDescent="0.2">
      <c r="A36" s="92">
        <v>1</v>
      </c>
      <c r="B36" s="381">
        <f t="shared" ref="B36:B59" si="2">B8</f>
        <v>0</v>
      </c>
      <c r="C36" s="382"/>
      <c r="D36" s="199" t="s">
        <v>52</v>
      </c>
      <c r="E36" s="265" t="str">
        <f>IF($D36='W10'!$A$59,'W10'!B$59,IF($D36='W10'!$A$60,'W10'!B$60,IF($D36='W10'!$A$61,'W10'!B$61,IF($D36='W10'!$A$62,'W10'!B$62,IF($D36='W10'!$A$63,'W10'!B$63,IF($D36='W10'!$A$64,'W10'!B$64,IF($D36='W10'!$A$65,'W10'!B$65,IF($D36='W10'!$A$66,'W10'!B$66,IF($D36='W10'!$A$67,'W10'!B$67,IF($D36='W10'!$A$68,'W10'!B275,IF($D36='W10'!$A$69,'W10'!B275,IF($D36='W10'!$A$70,'W10'!B275,IF($D36='W10'!$A$71,"")))))))))))))</f>
        <v/>
      </c>
      <c r="F36" s="378" t="str">
        <f>IF($D36='W10'!$A$59,'W10'!C$59,IF($D36='W10'!$A$60,'W10'!C$60,IF($D36='W10'!$A$61,'W10'!C$61,IF($D36='W10'!$A$62,'W10'!C$62,IF($D36='W10'!$A$63,'W10'!C$63,IF($D36='W10'!$A$64,'W10'!C$64,IF($D36='W10'!$A$65,'W10'!C$65,IF($D36='W10'!$A$66,'W10'!C$66,IF($D36='W10'!$A$67,'W10'!C$67,IF($D36='W10'!$A$68,'W10'!D275,IF($D36='W10'!$A$69,'W10'!D275,IF($D36='W10'!$A$70,'W10'!D275,IF($D36='W10'!$A$71,"")))))))))))))</f>
        <v/>
      </c>
      <c r="G36" s="379"/>
      <c r="H36" s="366" t="str">
        <f>IF($D36='W10'!$A$59,'W10'!D$59,IF($D36='W10'!$A$60,'W10'!D$60,IF($D36='W10'!$A$61,'W10'!D$61,IF($D36='W10'!$A$62,'W10'!D$62,IF($D36='W10'!$A$63,'W10'!D$63,IF($D36='W10'!$A$64,'W10'!D$64,IF($D36='W10'!$A$65,'W10'!D$65,IF($D36='W10'!$A$66,'W10'!D$66,IF($D36='W10'!$A$67,'W10'!D$67,IF($D36='W10'!$A$68,'W10'!F275,IF($D36='W10'!$A$69,'W10'!F275,IF($D36='W10'!$A$70,'W10'!F275,IF($D36='W10'!$A$71,"")))))))))))))</f>
        <v/>
      </c>
      <c r="I36" s="367"/>
      <c r="J36" s="366" t="str">
        <f>IF($D36='W10'!$A$59,'W10'!E$59,IF($D36='W10'!$A$60,'W10'!E$60,IF($D36='W10'!$A$61,'W10'!E$61,IF($D36='W10'!$A$62,'W10'!E$62,IF($D36='W10'!$A$63,'W10'!E$63,IF($D36='W10'!$A$64,'W10'!E$64,IF($D36='W10'!$A$65,'W10'!E$65,IF($D36='W10'!$A$66,'W10'!E$66,IF($D36='W10'!$A$67,'W10'!E$67,IF($D36='W10'!$A$68,'W10'!H275,IF($D36='W10'!$A$69,'W10'!H275,IF($D36='W10'!$A$70,'W10'!H275,IF($D36='W10'!$A$71,"")))))))))))))</f>
        <v/>
      </c>
      <c r="K36" s="367"/>
      <c r="L36" s="366" t="str">
        <f>IF($D36='W10'!$A$59,'W10'!F$59,IF($D36='W10'!$A$60,'W10'!F$60,IF($D36='W10'!$A$61,'W10'!F$61,IF($D36='W10'!$A$62,'W10'!F$62,IF($D36='W10'!$A$63,'W10'!F$63,IF($D36='W10'!$A$64,'W10'!F$64,IF($D36='W10'!$A$65,'W10'!F$65,IF($D36='W10'!$A$66,'W10'!F$66,IF($D36='W10'!$A$67,'W10'!F$67,IF($D36='W10'!$A$68,'W10'!J275,IF($D36='W10'!$A$69,'W10'!J275,IF($D36='W10'!$A$70,'W10'!J275,IF($D36='W10'!$A$71,"")))))))))))))</f>
        <v/>
      </c>
      <c r="M36" s="367"/>
      <c r="N36" s="200">
        <f ca="1">IF(N8=0,0,IF(AND($D36="F-SMRA",N8=0),0,IF(AND($D36="F-SMRB",N8=0),0,IF(AND($D36="F-SMRC",N8=0),0,IF($D36='W10'!$A$68,'W10'!B301,IF($D36='W10'!$A$69,'W10'!B301,IF($D36='W10'!$A$70,'W10'!B301,ROUND(('R10'!N8/'W10'!$C$5*'W10'!$C$9*(IF('R10'!$D36='W10'!$A$47,'W10'!B$47,IF('R10'!$D36='W10'!$A$48,'W10'!B$48,IF('R10'!$D36='W10'!$A$49,'W10'!B$49,IF('R10'!$D36='W10'!$A$50,'W10'!B$50,IF('R10'!$D36='W10'!$A$51,'W10'!B$51,IF('R10'!$D36='W10'!$A$52,'W10'!B$52,IF('R10'!$D36='W10'!$A$53,'W10'!B$53,IF('R10'!$D36='W10'!$A$54,'W10'!B$54,IF('R10'!$D36='W10'!$A$55,'W10'!B$55))))))))))),0)+ROUND(N8/'W10'!$C$5*'W10'!$C$10*(IF('R10'!$D36='W10'!$A$47,'W10'!C$47,IF('R10'!$D36='W10'!$A$48,'W10'!C$48,IF('R10'!$D36='W10'!$A$49,'W10'!C$49,IF('R10'!$D36='W10'!$A$50,'W10'!C$50,IF('R10'!$D36='W10'!$A$51,'W10'!C$51,IF('R10'!$D36='W10'!$A$52,'W10'!C$52,IF('R10'!$D36='W10'!$A$53,'W10'!C$53,IF('R10'!$D36='W10'!$A$54,'W10'!C$54,IF('R10'!$D36='W10'!$A$55,'W10'!C$55)))))))))),0))))))))</f>
        <v>0</v>
      </c>
      <c r="O36" s="187">
        <f ca="1">IF(O8=0,0,IF(AND($D36="F-SMRA",O8=0),0,IF(AND($D36="F-SMRB",O8=0),0,IF(AND($D36="F-SMRC",O8=0),0,IF($D36='W10'!$A$68,'W10'!D301,IF($D36='W10'!$A$69,'W10'!D301,IF($D36='W10'!$A$70,'W10'!D301,ROUND(('R10'!O8/'W10'!$D$5*'W10'!$D$9*(IF('R10'!$D36='W10'!$A$47,'W10'!D$47,IF('R10'!$D36='W10'!$A$48,'W10'!D$48,IF('R10'!$D36='W10'!$A$49,'W10'!D$49,IF('R10'!$D36='W10'!$A$50,'W10'!D$50,IF('R10'!$D36='W10'!$A$51,'W10'!D$51,IF('R10'!$D36='W10'!$A$52,'W10'!D$52,IF('R10'!$D36='W10'!$A$53,'W10'!D$53,IF('R10'!$D36='W10'!$A$54,'W10'!D$54,IF('R10'!$D36='W10'!$A$55,'W10'!D$55))))))))))),0)+ROUND(O8/'W10'!$D$5*'W10'!$D$10*(IF('R10'!$D36='W10'!$A$47,'W10'!E$47,IF('R10'!$D36='W10'!$A$48,'W10'!E$48,IF('R10'!$D36='W10'!$A$49,'W10'!E$49,IF('R10'!$D36='W10'!$A$50,'W10'!E$50,IF('R10'!$D36='W10'!$A$51,'W10'!E$51,IF('R10'!$D36='W10'!$A$52,'W10'!E$52,IF('R10'!$D36='W10'!$A$53,'W10'!E$53,IF('R10'!$D36='W10'!$A$54,'W10'!E$54,IF('R10'!$D36='W10'!$A$55,'W10'!E$55)))))))))),0))))))))</f>
        <v>0</v>
      </c>
      <c r="P36" s="187">
        <f ca="1">IF(P8=0,0,IF(AND($D36="F-SMRA",P8=0),0,IF(AND($D36="F-SMRB",P8=0),0,IF(AND($D36="F-SMRC",P8=0),0,IF($D36='W10'!$A$68,'W10'!F301,IF($D36='W10'!$A$69,'W10'!F301,IF($D36='W10'!$A$70,'W10'!F301,ROUND(('R10'!P8/'W10'!$E$5*'W10'!$E$9*(IF('R10'!$D36='W10'!$A$47,'W10'!F$47,IF('R10'!$D36='W10'!$A$48,'W10'!F$48,IF('R10'!$D36='W10'!$A$49,'W10'!F$49,IF('R10'!$D36='W10'!$A$50,'W10'!F$50,IF('R10'!$D36='W10'!$A$51,'W10'!F$51,IF('R10'!$D36='W10'!$A$52,'W10'!F$52,IF('R10'!$D36='W10'!$A$53,'W10'!F$53,IF('R10'!$D36='W10'!$A$54,'W10'!F$54,IF('R10'!$D36='W10'!$A$55,'W10'!F$55))))))))))),0)+ROUND(P8/'W10'!$E$5*'W10'!$E$10*(IF('R10'!$D36='W10'!$A$47,'W10'!G$47,IF('R10'!$D36='W10'!$A$48,'W10'!G$48,IF('R10'!$D36='W10'!$A$49,'W10'!G$49,IF('R10'!$D36='W10'!$A$50,'W10'!G$50,IF('R10'!$D36='W10'!$A$51,'W10'!G$51,IF('R10'!$D36='W10'!$A$52,'W10'!G$52,IF('R10'!$D36='W10'!$A$53,'W10'!G$53,IF('R10'!$D36='W10'!$A$54,'W10'!G$54,IF('R10'!$D36='W10'!$A$55,'W10'!G$55)))))))))),0))))))))</f>
        <v>0</v>
      </c>
      <c r="Q36" s="187">
        <f ca="1">IF(Q8=0,0,IF(AND($D36="F-SMRA",Q8=0),0,IF(AND($D36="F-SMRB",Q8=0),0,IF(AND($D36="F-SMRC",Q8=0),0,IF($D36='W10'!$A$68,'W10'!H301,IF($D36='W10'!$A$69,'W10'!H301,IF($D36='W10'!$A$70,'W10'!H301,ROUND(('R10'!Q8/'W10'!$F$5*'W10'!$F$9*(IF('R10'!$D36='W10'!$A$47,'W10'!H$47,IF('R10'!$D36='W10'!$A$48,'W10'!H$48,IF('R10'!$D36='W10'!$A$49,'W10'!H$49,IF('R10'!$D36='W10'!$A$50,'W10'!H$50,IF('R10'!$D36='W10'!$A$51,'W10'!H$51,IF('R10'!$D36='W10'!$A$52,'W10'!H$52,IF('R10'!$D36='W10'!$A$53,'W10'!H$53,IF('R10'!$D36='W10'!$A$54,'W10'!H$54,IF('R10'!$D36='W10'!$A$55,'W10'!H$55))))))))))),0)+ROUND(Q8/'W10'!$F$5*'W10'!$F$10*(IF('R10'!$D36='W10'!$A$47,'W10'!I$47,IF('R10'!$D36='W10'!$A$48,'W10'!I$48,IF('R10'!$D36='W10'!$A$49,'W10'!I$49,IF('R10'!$D36='W10'!$A$50,'W10'!I$50,IF('R10'!$D36='W10'!$A$51,'W10'!I$51,IF('R10'!$D36='W10'!$A$52,'W10'!I$52,IF('R10'!$D36='W10'!$A$53,'W10'!I$53,IF('R10'!$D36='W10'!$A$54,'W10'!I$54,IF('R10'!$D36='W10'!$A$55,'W10'!I$55)))))))))),0))))))))</f>
        <v>0</v>
      </c>
      <c r="R36" s="187">
        <f ca="1">IF(R8=0,0,IF(AND($D36="F-SMRA",R8=0),0,IF(AND($D36="F-SMRB",R8=0),0,IF(AND($D36="F-SMRC",R8=0),0,IF($D36='W10'!$A$68,'W10'!J301,IF($D36='W10'!$A$69,'W10'!J301,IF($D36='W10'!$A$70,'W10'!J301,ROUND(('R10'!R8/'W10'!$G$5*'W10'!$G$9*(IF('R10'!$D36='W10'!$A$47,'W10'!J$47,IF('R10'!$D36='W10'!$A$48,'W10'!J$48,IF('R10'!$D36='W10'!$A$49,'W10'!J$49,IF('R10'!$D36='W10'!$A$50,'W10'!J$50,IF('R10'!$D36='W10'!$A$51,'W10'!J$51,IF('R10'!$D36='W10'!$A$52,'W10'!J$52,IF('R10'!$D36='W10'!$A$53,'W10'!J$53,IF('R10'!$D36='W10'!$A$54,'W10'!J$54,IF('R10'!$D36='W10'!$A$55,'W10'!J$55))))))))))),0)+ROUND(R8/'W10'!$G$5*'W10'!$G$10*(IF('R10'!$D36='W10'!$A$47,'W10'!K$47,IF('R10'!$D36='W10'!$A$48,'W10'!K$48,IF('R10'!$D36='W10'!$A$49,'W10'!K$49,IF('R10'!$D36='W10'!$A$50,'W10'!K$50,IF('R10'!$D36='W10'!$A$51,'W10'!K$51,IF('R10'!$D36='W10'!$A$52,'W10'!K$52,IF('R10'!$D36='W10'!$A$53,'W10'!K$53,IF('R10'!$D36='W10'!$A$54,'W10'!K$54,IF('R10'!$D36='W10'!$A$55,'W10'!K$55)))))))))),0))))))))</f>
        <v>0</v>
      </c>
      <c r="S36" s="187">
        <f ca="1">SUM(N36:R36)</f>
        <v>0</v>
      </c>
      <c r="T36" s="248"/>
      <c r="U36" s="248"/>
      <c r="V36" s="248"/>
      <c r="W36" s="248"/>
      <c r="X36" s="248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</row>
    <row r="37" spans="1:51" x14ac:dyDescent="0.2">
      <c r="A37" s="92">
        <v>2</v>
      </c>
      <c r="B37" s="381">
        <f t="shared" si="2"/>
        <v>0</v>
      </c>
      <c r="C37" s="382"/>
      <c r="D37" s="199" t="s">
        <v>52</v>
      </c>
      <c r="E37" s="265" t="str">
        <f>IF($D37='W10'!$A$59,'W10'!B$59,IF($D37='W10'!$A$60,'W10'!B$60,IF($D37='W10'!$A$61,'W10'!B$61,IF($D37='W10'!$A$62,'W10'!B$62,IF($D37='W10'!$A$63,'W10'!B$63,IF($D37='W10'!$A$64,'W10'!B$64,IF($D37='W10'!$A$65,'W10'!B$65,IF($D37='W10'!$A$66,'W10'!B$66,IF($D37='W10'!$A$67,'W10'!B$67,IF($D37='W10'!$A$68,'W10'!B276,IF($D37='W10'!$A$69,'W10'!B276,IF($D37='W10'!$A$70,'W10'!B276,IF($D37='W10'!$A$71,"")))))))))))))</f>
        <v/>
      </c>
      <c r="F37" s="378" t="str">
        <f>IF($D37='W10'!$A$59,'W10'!C$59,IF($D37='W10'!$A$60,'W10'!C$60,IF($D37='W10'!$A$61,'W10'!C$61,IF($D37='W10'!$A$62,'W10'!C$62,IF($D37='W10'!$A$63,'W10'!C$63,IF($D37='W10'!$A$64,'W10'!C$64,IF($D37='W10'!$A$65,'W10'!C$65,IF($D37='W10'!$A$66,'W10'!C$66,IF($D37='W10'!$A$67,'W10'!C$67,IF($D37='W10'!$A$68,'W10'!D276,IF($D37='W10'!$A$69,'W10'!D276,IF($D37='W10'!$A$70,'W10'!D276,IF($D37='W10'!$A$71,"")))))))))))))</f>
        <v/>
      </c>
      <c r="G37" s="379"/>
      <c r="H37" s="366" t="str">
        <f>IF($D37='W10'!$A$59,'W10'!D$59,IF($D37='W10'!$A$60,'W10'!D$60,IF($D37='W10'!$A$61,'W10'!D$61,IF($D37='W10'!$A$62,'W10'!D$62,IF($D37='W10'!$A$63,'W10'!D$63,IF($D37='W10'!$A$64,'W10'!D$64,IF($D37='W10'!$A$65,'W10'!D$65,IF($D37='W10'!$A$66,'W10'!D$66,IF($D37='W10'!$A$67,'W10'!D$67,IF($D37='W10'!$A$68,'W10'!F276,IF($D37='W10'!$A$69,'W10'!F276,IF($D37='W10'!$A$70,'W10'!F276,IF($D37='W10'!$A$71,"")))))))))))))</f>
        <v/>
      </c>
      <c r="I37" s="367"/>
      <c r="J37" s="366" t="str">
        <f>IF($D37='W10'!$A$59,'W10'!E$59,IF($D37='W10'!$A$60,'W10'!E$60,IF($D37='W10'!$A$61,'W10'!E$61,IF($D37='W10'!$A$62,'W10'!E$62,IF($D37='W10'!$A$63,'W10'!E$63,IF($D37='W10'!$A$64,'W10'!E$64,IF($D37='W10'!$A$65,'W10'!E$65,IF($D37='W10'!$A$66,'W10'!E$66,IF($D37='W10'!$A$67,'W10'!E$67,IF($D37='W10'!$A$68,'W10'!H276,IF($D37='W10'!$A$69,'W10'!H276,IF($D37='W10'!$A$70,'W10'!H276,IF($D37='W10'!$A$71,"")))))))))))))</f>
        <v/>
      </c>
      <c r="K37" s="367"/>
      <c r="L37" s="366" t="str">
        <f>IF($D37='W10'!$A$59,'W10'!F$59,IF($D37='W10'!$A$60,'W10'!F$60,IF($D37='W10'!$A$61,'W10'!F$61,IF($D37='W10'!$A$62,'W10'!F$62,IF($D37='W10'!$A$63,'W10'!F$63,IF($D37='W10'!$A$64,'W10'!F$64,IF($D37='W10'!$A$65,'W10'!F$65,IF($D37='W10'!$A$66,'W10'!F$66,IF($D37='W10'!$A$67,'W10'!F$67,IF($D37='W10'!$A$68,'W10'!J276,IF($D37='W10'!$A$69,'W10'!J276,IF($D37='W10'!$A$70,'W10'!J276,IF($D37='W10'!$A$71,"")))))))))))))</f>
        <v/>
      </c>
      <c r="M37" s="367"/>
      <c r="N37" s="187">
        <f ca="1">IF(N9=0,0,IF(AND($D37="F-SMRA",N9=0),0,IF(AND($D37="F-SMRB",N9=0),0,IF(AND($D37="F-SMRC",N9=0),0,IF($D37='W10'!$A$68,'W10'!B302,IF($D37='W10'!$A$69,'W10'!B302,IF($D37='W10'!$A$70,'W10'!B302,ROUND(('R10'!N9/'W10'!$C$5*'W10'!$C$9*(IF('R10'!$D37='W10'!$A$47,'W10'!B$47,IF('R10'!$D37='W10'!$A$48,'W10'!B$48,IF('R10'!$D37='W10'!$A$49,'W10'!B$49,IF('R10'!$D37='W10'!$A$50,'W10'!B$50,IF('R10'!$D37='W10'!$A$51,'W10'!B$51,IF('R10'!$D37='W10'!$A$52,'W10'!B$52,IF('R10'!$D37='W10'!$A$53,'W10'!B$53,IF('R10'!$D37='W10'!$A$54,'W10'!B$54,IF('R10'!$D37='W10'!$A$55,'W10'!B$55))))))))))),0)+ROUND(N9/'W10'!$C$5*'W10'!$C$10*(IF('R10'!$D37='W10'!$A$47,'W10'!C$47,IF('R10'!$D37='W10'!$A$48,'W10'!C$48,IF('R10'!$D37='W10'!$A$49,'W10'!C$49,IF('R10'!$D37='W10'!$A$50,'W10'!C$50,IF('R10'!$D37='W10'!$A$51,'W10'!C$51,IF('R10'!$D37='W10'!$A$52,'W10'!C$52,IF('R10'!$D37='W10'!$A$53,'W10'!C$53,IF('R10'!$D37='W10'!$A$54,'W10'!C$54,IF('R10'!$D37='W10'!$A$55,'W10'!C$55)))))))))),0))))))))</f>
        <v>0</v>
      </c>
      <c r="O37" s="187">
        <f ca="1">IF(O9=0,0,IF(AND($D37="F-SMRA",O9=0),0,IF(AND($D37="F-SMRB",O9=0),0,IF(AND($D37="F-SMRC",O9=0),0,IF($D37='W10'!$A$68,'W10'!D302,IF($D37='W10'!$A$69,'W10'!D302,IF($D37='W10'!$A$70,'W10'!D302,ROUND(('R10'!O9/'W10'!$D$5*'W10'!$D$9*(IF('R10'!$D37='W10'!$A$47,'W10'!D$47,IF('R10'!$D37='W10'!$A$48,'W10'!D$48,IF('R10'!$D37='W10'!$A$49,'W10'!D$49,IF('R10'!$D37='W10'!$A$50,'W10'!D$50,IF('R10'!$D37='W10'!$A$51,'W10'!D$51,IF('R10'!$D37='W10'!$A$52,'W10'!D$52,IF('R10'!$D37='W10'!$A$53,'W10'!D$53,IF('R10'!$D37='W10'!$A$54,'W10'!D$54,IF('R10'!$D37='W10'!$A$55,'W10'!D$55))))))))))),0)+ROUND(O9/'W10'!$D$5*'W10'!$D$10*(IF('R10'!$D37='W10'!$A$47,'W10'!E$47,IF('R10'!$D37='W10'!$A$48,'W10'!E$48,IF('R10'!$D37='W10'!$A$49,'W10'!E$49,IF('R10'!$D37='W10'!$A$50,'W10'!E$50,IF('R10'!$D37='W10'!$A$51,'W10'!E$51,IF('R10'!$D37='W10'!$A$52,'W10'!E$52,IF('R10'!$D37='W10'!$A$53,'W10'!E$53,IF('R10'!$D37='W10'!$A$54,'W10'!E$54,IF('R10'!$D37='W10'!$A$55,'W10'!E$55)))))))))),0))))))))</f>
        <v>0</v>
      </c>
      <c r="P37" s="187">
        <f ca="1">IF(P9=0,0,IF(AND($D37="F-SMRA",P9=0),0,IF(AND($D37="F-SMRB",P9=0),0,IF(AND($D37="F-SMRC",P9=0),0,IF($D37='W10'!$A$68,'W10'!F302,IF($D37='W10'!$A$69,'W10'!F302,IF($D37='W10'!$A$70,'W10'!F302,ROUND(('R10'!P9/'W10'!$E$5*'W10'!$E$9*(IF('R10'!$D37='W10'!$A$47,'W10'!F$47,IF('R10'!$D37='W10'!$A$48,'W10'!F$48,IF('R10'!$D37='W10'!$A$49,'W10'!F$49,IF('R10'!$D37='W10'!$A$50,'W10'!F$50,IF('R10'!$D37='W10'!$A$51,'W10'!F$51,IF('R10'!$D37='W10'!$A$52,'W10'!F$52,IF('R10'!$D37='W10'!$A$53,'W10'!F$53,IF('R10'!$D37='W10'!$A$54,'W10'!F$54,IF('R10'!$D37='W10'!$A$55,'W10'!F$55))))))))))),0)+ROUND(P9/'W10'!$E$5*'W10'!$E$10*(IF('R10'!$D37='W10'!$A$47,'W10'!G$47,IF('R10'!$D37='W10'!$A$48,'W10'!G$48,IF('R10'!$D37='W10'!$A$49,'W10'!G$49,IF('R10'!$D37='W10'!$A$50,'W10'!G$50,IF('R10'!$D37='W10'!$A$51,'W10'!G$51,IF('R10'!$D37='W10'!$A$52,'W10'!G$52,IF('R10'!$D37='W10'!$A$53,'W10'!G$53,IF('R10'!$D37='W10'!$A$54,'W10'!G$54,IF('R10'!$D37='W10'!$A$55,'W10'!G$55)))))))))),0))))))))</f>
        <v>0</v>
      </c>
      <c r="Q37" s="187">
        <f ca="1">IF(Q9=0,0,IF(AND($D37="F-SMRA",Q9=0),0,IF(AND($D37="F-SMRB",Q9=0),0,IF(AND($D37="F-SMRC",Q9=0),0,IF($D37='W10'!$A$68,'W10'!H302,IF($D37='W10'!$A$69,'W10'!H302,IF($D37='W10'!$A$70,'W10'!H302,ROUND(('R10'!Q9/'W10'!$F$5*'W10'!$F$9*(IF('R10'!$D37='W10'!$A$47,'W10'!H$47,IF('R10'!$D37='W10'!$A$48,'W10'!H$48,IF('R10'!$D37='W10'!$A$49,'W10'!H$49,IF('R10'!$D37='W10'!$A$50,'W10'!H$50,IF('R10'!$D37='W10'!$A$51,'W10'!H$51,IF('R10'!$D37='W10'!$A$52,'W10'!H$52,IF('R10'!$D37='W10'!$A$53,'W10'!H$53,IF('R10'!$D37='W10'!$A$54,'W10'!H$54,IF('R10'!$D37='W10'!$A$55,'W10'!H$55))))))))))),0)+ROUND(Q9/'W10'!$F$5*'W10'!$F$10*(IF('R10'!$D37='W10'!$A$47,'W10'!I$47,IF('R10'!$D37='W10'!$A$48,'W10'!I$48,IF('R10'!$D37='W10'!$A$49,'W10'!I$49,IF('R10'!$D37='W10'!$A$50,'W10'!I$50,IF('R10'!$D37='W10'!$A$51,'W10'!I$51,IF('R10'!$D37='W10'!$A$52,'W10'!I$52,IF('R10'!$D37='W10'!$A$53,'W10'!I$53,IF('R10'!$D37='W10'!$A$54,'W10'!I$54,IF('R10'!$D37='W10'!$A$55,'W10'!I$55)))))))))),0))))))))</f>
        <v>0</v>
      </c>
      <c r="R37" s="187">
        <f ca="1">IF(R9=0,0,IF(AND($D37="F-SMRA",R9=0),0,IF(AND($D37="F-SMRB",R9=0),0,IF(AND($D37="F-SMRC",R9=0),0,IF($D37='W10'!$A$68,'W10'!J302,IF($D37='W10'!$A$69,'W10'!J302,IF($D37='W10'!$A$70,'W10'!J302,ROUND(('R10'!R9/'W10'!$G$5*'W10'!$G$9*(IF('R10'!$D37='W10'!$A$47,'W10'!J$47,IF('R10'!$D37='W10'!$A$48,'W10'!J$48,IF('R10'!$D37='W10'!$A$49,'W10'!J$49,IF('R10'!$D37='W10'!$A$50,'W10'!J$50,IF('R10'!$D37='W10'!$A$51,'W10'!J$51,IF('R10'!$D37='W10'!$A$52,'W10'!J$52,IF('R10'!$D37='W10'!$A$53,'W10'!J$53,IF('R10'!$D37='W10'!$A$54,'W10'!J$54,IF('R10'!$D37='W10'!$A$55,'W10'!J$55))))))))))),0)+ROUND(R9/'W10'!$G$5*'W10'!$G$10*(IF('R10'!$D37='W10'!$A$47,'W10'!K$47,IF('R10'!$D37='W10'!$A$48,'W10'!K$48,IF('R10'!$D37='W10'!$A$49,'W10'!K$49,IF('R10'!$D37='W10'!$A$50,'W10'!K$50,IF('R10'!$D37='W10'!$A$51,'W10'!K$51,IF('R10'!$D37='W10'!$A$52,'W10'!K$52,IF('R10'!$D37='W10'!$A$53,'W10'!K$53,IF('R10'!$D37='W10'!$A$54,'W10'!K$54,IF('R10'!$D37='W10'!$A$55,'W10'!K$55)))))))))),0))))))))</f>
        <v>0</v>
      </c>
      <c r="S37" s="187">
        <f t="shared" ref="S37:S59" ca="1" si="3">SUM(N37:R37)</f>
        <v>0</v>
      </c>
      <c r="T37" s="248"/>
      <c r="U37" s="248"/>
      <c r="V37" s="248"/>
      <c r="W37" s="248"/>
      <c r="X37" s="248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</row>
    <row r="38" spans="1:51" x14ac:dyDescent="0.2">
      <c r="A38" s="92">
        <v>3</v>
      </c>
      <c r="B38" s="381">
        <f t="shared" si="2"/>
        <v>0</v>
      </c>
      <c r="C38" s="382"/>
      <c r="D38" s="199" t="s">
        <v>52</v>
      </c>
      <c r="E38" s="265" t="str">
        <f>IF($D38='W10'!$A$59,'W10'!B$59,IF($D38='W10'!$A$60,'W10'!B$60,IF($D38='W10'!$A$61,'W10'!B$61,IF($D38='W10'!$A$62,'W10'!B$62,IF($D38='W10'!$A$63,'W10'!B$63,IF($D38='W10'!$A$64,'W10'!B$64,IF($D38='W10'!$A$65,'W10'!B$65,IF($D38='W10'!$A$66,'W10'!B$66,IF($D38='W10'!$A$67,'W10'!B$67,IF($D38='W10'!$A$68,'W10'!B277,IF($D38='W10'!$A$69,'W10'!B277,IF($D38='W10'!$A$70,'W10'!B277,IF($D38='W10'!$A$71,"")))))))))))))</f>
        <v/>
      </c>
      <c r="F38" s="378" t="str">
        <f>IF($D38='W10'!$A$59,'W10'!C$59,IF($D38='W10'!$A$60,'W10'!C$60,IF($D38='W10'!$A$61,'W10'!C$61,IF($D38='W10'!$A$62,'W10'!C$62,IF($D38='W10'!$A$63,'W10'!C$63,IF($D38='W10'!$A$64,'W10'!C$64,IF($D38='W10'!$A$65,'W10'!C$65,IF($D38='W10'!$A$66,'W10'!C$66,IF($D38='W10'!$A$67,'W10'!C$67,IF($D38='W10'!$A$68,'W10'!D277,IF($D38='W10'!$A$69,'W10'!D277,IF($D38='W10'!$A$70,'W10'!D277,IF($D38='W10'!$A$71,"")))))))))))))</f>
        <v/>
      </c>
      <c r="G38" s="379"/>
      <c r="H38" s="366" t="str">
        <f>IF($D38='W10'!$A$59,'W10'!D$59,IF($D38='W10'!$A$60,'W10'!D$60,IF($D38='W10'!$A$61,'W10'!D$61,IF($D38='W10'!$A$62,'W10'!D$62,IF($D38='W10'!$A$63,'W10'!D$63,IF($D38='W10'!$A$64,'W10'!D$64,IF($D38='W10'!$A$65,'W10'!D$65,IF($D38='W10'!$A$66,'W10'!D$66,IF($D38='W10'!$A$67,'W10'!D$67,IF($D38='W10'!$A$68,'W10'!F277,IF($D38='W10'!$A$69,'W10'!F277,IF($D38='W10'!$A$70,'W10'!F277,IF($D38='W10'!$A$71,"")))))))))))))</f>
        <v/>
      </c>
      <c r="I38" s="367"/>
      <c r="J38" s="366" t="str">
        <f>IF($D38='W10'!$A$59,'W10'!E$59,IF($D38='W10'!$A$60,'W10'!E$60,IF($D38='W10'!$A$61,'W10'!E$61,IF($D38='W10'!$A$62,'W10'!E$62,IF($D38='W10'!$A$63,'W10'!E$63,IF($D38='W10'!$A$64,'W10'!E$64,IF($D38='W10'!$A$65,'W10'!E$65,IF($D38='W10'!$A$66,'W10'!E$66,IF($D38='W10'!$A$67,'W10'!E$67,IF($D38='W10'!$A$68,'W10'!H277,IF($D38='W10'!$A$69,'W10'!H277,IF($D38='W10'!$A$70,'W10'!H277,IF($D38='W10'!$A$71,"")))))))))))))</f>
        <v/>
      </c>
      <c r="K38" s="367"/>
      <c r="L38" s="366" t="str">
        <f>IF($D38='W10'!$A$59,'W10'!F$59,IF($D38='W10'!$A$60,'W10'!F$60,IF($D38='W10'!$A$61,'W10'!F$61,IF($D38='W10'!$A$62,'W10'!F$62,IF($D38='W10'!$A$63,'W10'!F$63,IF($D38='W10'!$A$64,'W10'!F$64,IF($D38='W10'!$A$65,'W10'!F$65,IF($D38='W10'!$A$66,'W10'!F$66,IF($D38='W10'!$A$67,'W10'!F$67,IF($D38='W10'!$A$68,'W10'!J277,IF($D38='W10'!$A$69,'W10'!J277,IF($D38='W10'!$A$70,'W10'!J277,IF($D38='W10'!$A$71,"")))))))))))))</f>
        <v/>
      </c>
      <c r="M38" s="367"/>
      <c r="N38" s="187">
        <f ca="1">IF(N10=0,0,IF(AND($D38="F-SMRA",N10=0),0,IF(AND($D38="F-SMRB",N10=0),0,IF(AND($D38="F-SMRC",N10=0),0,IF($D38='W10'!$A$68,'W10'!B303,IF($D38='W10'!$A$69,'W10'!B303,IF($D38='W10'!$A$70,'W10'!B303,ROUND(('R10'!N10/'W10'!$C$5*'W10'!$C$9*(IF('R10'!$D38='W10'!$A$47,'W10'!B$47,IF('R10'!$D38='W10'!$A$48,'W10'!B$48,IF('R10'!$D38='W10'!$A$49,'W10'!B$49,IF('R10'!$D38='W10'!$A$50,'W10'!B$50,IF('R10'!$D38='W10'!$A$51,'W10'!B$51,IF('R10'!$D38='W10'!$A$52,'W10'!B$52,IF('R10'!$D38='W10'!$A$53,'W10'!B$53,IF('R10'!$D38='W10'!$A$54,'W10'!B$54,IF('R10'!$D38='W10'!$A$55,'W10'!B$55))))))))))),0)+ROUND(N10/'W10'!$C$5*'W10'!$C$10*(IF('R10'!$D38='W10'!$A$47,'W10'!C$47,IF('R10'!$D38='W10'!$A$48,'W10'!C$48,IF('R10'!$D38='W10'!$A$49,'W10'!C$49,IF('R10'!$D38='W10'!$A$50,'W10'!C$50,IF('R10'!$D38='W10'!$A$51,'W10'!C$51,IF('R10'!$D38='W10'!$A$52,'W10'!C$52,IF('R10'!$D38='W10'!$A$53,'W10'!C$53,IF('R10'!$D38='W10'!$A$54,'W10'!C$54,IF('R10'!$D38='W10'!$A$55,'W10'!C$55)))))))))),0))))))))</f>
        <v>0</v>
      </c>
      <c r="O38" s="187">
        <f ca="1">IF(O10=0,0,IF(AND($D38="F-SMRA",O10=0),0,IF(AND($D38="F-SMRB",O10=0),0,IF(AND($D38="F-SMRC",O10=0),0,IF($D38='W10'!$A$68,'W10'!D303,IF($D38='W10'!$A$69,'W10'!D303,IF($D38='W10'!$A$70,'W10'!D303,ROUND(('R10'!O10/'W10'!$D$5*'W10'!$D$9*(IF('R10'!$D38='W10'!$A$47,'W10'!D$47,IF('R10'!$D38='W10'!$A$48,'W10'!D$48,IF('R10'!$D38='W10'!$A$49,'W10'!D$49,IF('R10'!$D38='W10'!$A$50,'W10'!D$50,IF('R10'!$D38='W10'!$A$51,'W10'!D$51,IF('R10'!$D38='W10'!$A$52,'W10'!D$52,IF('R10'!$D38='W10'!$A$53,'W10'!D$53,IF('R10'!$D38='W10'!$A$54,'W10'!D$54,IF('R10'!$D38='W10'!$A$55,'W10'!D$55))))))))))),0)+ROUND(O10/'W10'!$D$5*'W10'!$D$10*(IF('R10'!$D38='W10'!$A$47,'W10'!E$47,IF('R10'!$D38='W10'!$A$48,'W10'!E$48,IF('R10'!$D38='W10'!$A$49,'W10'!E$49,IF('R10'!$D38='W10'!$A$50,'W10'!E$50,IF('R10'!$D38='W10'!$A$51,'W10'!E$51,IF('R10'!$D38='W10'!$A$52,'W10'!E$52,IF('R10'!$D38='W10'!$A$53,'W10'!E$53,IF('R10'!$D38='W10'!$A$54,'W10'!E$54,IF('R10'!$D38='W10'!$A$55,'W10'!E$55)))))))))),0))))))))</f>
        <v>0</v>
      </c>
      <c r="P38" s="187">
        <f ca="1">IF(P10=0,0,IF(AND($D38="F-SMRA",P10=0),0,IF(AND($D38="F-SMRB",P10=0),0,IF(AND($D38="F-SMRC",P10=0),0,IF($D38='W10'!$A$68,'W10'!F303,IF($D38='W10'!$A$69,'W10'!F303,IF($D38='W10'!$A$70,'W10'!F303,ROUND(('R10'!P10/'W10'!$E$5*'W10'!$E$9*(IF('R10'!$D38='W10'!$A$47,'W10'!F$47,IF('R10'!$D38='W10'!$A$48,'W10'!F$48,IF('R10'!$D38='W10'!$A$49,'W10'!F$49,IF('R10'!$D38='W10'!$A$50,'W10'!F$50,IF('R10'!$D38='W10'!$A$51,'W10'!F$51,IF('R10'!$D38='W10'!$A$52,'W10'!F$52,IF('R10'!$D38='W10'!$A$53,'W10'!F$53,IF('R10'!$D38='W10'!$A$54,'W10'!F$54,IF('R10'!$D38='W10'!$A$55,'W10'!F$55))))))))))),0)+ROUND(P10/'W10'!$E$5*'W10'!$E$10*(IF('R10'!$D38='W10'!$A$47,'W10'!G$47,IF('R10'!$D38='W10'!$A$48,'W10'!G$48,IF('R10'!$D38='W10'!$A$49,'W10'!G$49,IF('R10'!$D38='W10'!$A$50,'W10'!G$50,IF('R10'!$D38='W10'!$A$51,'W10'!G$51,IF('R10'!$D38='W10'!$A$52,'W10'!G$52,IF('R10'!$D38='W10'!$A$53,'W10'!G$53,IF('R10'!$D38='W10'!$A$54,'W10'!G$54,IF('R10'!$D38='W10'!$A$55,'W10'!G$55)))))))))),0))))))))</f>
        <v>0</v>
      </c>
      <c r="Q38" s="187">
        <f ca="1">IF(Q10=0,0,IF(AND($D38="F-SMRA",Q10=0),0,IF(AND($D38="F-SMRB",Q10=0),0,IF(AND($D38="F-SMRC",Q10=0),0,IF($D38='W10'!$A$68,'W10'!H303,IF($D38='W10'!$A$69,'W10'!H303,IF($D38='W10'!$A$70,'W10'!H303,ROUND(('R10'!Q10/'W10'!$F$5*'W10'!$F$9*(IF('R10'!$D38='W10'!$A$47,'W10'!H$47,IF('R10'!$D38='W10'!$A$48,'W10'!H$48,IF('R10'!$D38='W10'!$A$49,'W10'!H$49,IF('R10'!$D38='W10'!$A$50,'W10'!H$50,IF('R10'!$D38='W10'!$A$51,'W10'!H$51,IF('R10'!$D38='W10'!$A$52,'W10'!H$52,IF('R10'!$D38='W10'!$A$53,'W10'!H$53,IF('R10'!$D38='W10'!$A$54,'W10'!H$54,IF('R10'!$D38='W10'!$A$55,'W10'!H$55))))))))))),0)+ROUND(Q10/'W10'!$F$5*'W10'!$F$10*(IF('R10'!$D38='W10'!$A$47,'W10'!I$47,IF('R10'!$D38='W10'!$A$48,'W10'!I$48,IF('R10'!$D38='W10'!$A$49,'W10'!I$49,IF('R10'!$D38='W10'!$A$50,'W10'!I$50,IF('R10'!$D38='W10'!$A$51,'W10'!I$51,IF('R10'!$D38='W10'!$A$52,'W10'!I$52,IF('R10'!$D38='W10'!$A$53,'W10'!I$53,IF('R10'!$D38='W10'!$A$54,'W10'!I$54,IF('R10'!$D38='W10'!$A$55,'W10'!I$55)))))))))),0))))))))</f>
        <v>0</v>
      </c>
      <c r="R38" s="187">
        <f ca="1">IF(R10=0,0,IF(AND($D38="F-SMRA",R10=0),0,IF(AND($D38="F-SMRB",R10=0),0,IF(AND($D38="F-SMRC",R10=0),0,IF($D38='W10'!$A$68,'W10'!J303,IF($D38='W10'!$A$69,'W10'!J303,IF($D38='W10'!$A$70,'W10'!J303,ROUND(('R10'!R10/'W10'!$G$5*'W10'!$G$9*(IF('R10'!$D38='W10'!$A$47,'W10'!J$47,IF('R10'!$D38='W10'!$A$48,'W10'!J$48,IF('R10'!$D38='W10'!$A$49,'W10'!J$49,IF('R10'!$D38='W10'!$A$50,'W10'!J$50,IF('R10'!$D38='W10'!$A$51,'W10'!J$51,IF('R10'!$D38='W10'!$A$52,'W10'!J$52,IF('R10'!$D38='W10'!$A$53,'W10'!J$53,IF('R10'!$D38='W10'!$A$54,'W10'!J$54,IF('R10'!$D38='W10'!$A$55,'W10'!J$55))))))))))),0)+ROUND(R10/'W10'!$G$5*'W10'!$G$10*(IF('R10'!$D38='W10'!$A$47,'W10'!K$47,IF('R10'!$D38='W10'!$A$48,'W10'!K$48,IF('R10'!$D38='W10'!$A$49,'W10'!K$49,IF('R10'!$D38='W10'!$A$50,'W10'!K$50,IF('R10'!$D38='W10'!$A$51,'W10'!K$51,IF('R10'!$D38='W10'!$A$52,'W10'!K$52,IF('R10'!$D38='W10'!$A$53,'W10'!K$53,IF('R10'!$D38='W10'!$A$54,'W10'!K$54,IF('R10'!$D38='W10'!$A$55,'W10'!K$55)))))))))),0))))))))</f>
        <v>0</v>
      </c>
      <c r="S38" s="187">
        <f t="shared" ca="1" si="3"/>
        <v>0</v>
      </c>
      <c r="T38" s="248"/>
      <c r="U38" s="248"/>
      <c r="V38" s="248"/>
      <c r="W38" s="248"/>
      <c r="X38" s="248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</row>
    <row r="39" spans="1:51" x14ac:dyDescent="0.2">
      <c r="A39" s="92">
        <v>4</v>
      </c>
      <c r="B39" s="381">
        <f t="shared" si="2"/>
        <v>0</v>
      </c>
      <c r="C39" s="382"/>
      <c r="D39" s="199" t="s">
        <v>52</v>
      </c>
      <c r="E39" s="265" t="str">
        <f>IF($D39='W10'!$A$59,'W10'!B$59,IF($D39='W10'!$A$60,'W10'!B$60,IF($D39='W10'!$A$61,'W10'!B$61,IF($D39='W10'!$A$62,'W10'!B$62,IF($D39='W10'!$A$63,'W10'!B$63,IF($D39='W10'!$A$64,'W10'!B$64,IF($D39='W10'!$A$65,'W10'!B$65,IF($D39='W10'!$A$66,'W10'!B$66,IF($D39='W10'!$A$67,'W10'!B$67,IF($D39='W10'!$A$68,'W10'!B278,IF($D39='W10'!$A$69,'W10'!B278,IF($D39='W10'!$A$70,'W10'!B278,IF($D39='W10'!$A$71,"")))))))))))))</f>
        <v/>
      </c>
      <c r="F39" s="378" t="str">
        <f>IF($D39='W10'!$A$59,'W10'!C$59,IF($D39='W10'!$A$60,'W10'!C$60,IF($D39='W10'!$A$61,'W10'!C$61,IF($D39='W10'!$A$62,'W10'!C$62,IF($D39='W10'!$A$63,'W10'!C$63,IF($D39='W10'!$A$64,'W10'!C$64,IF($D39='W10'!$A$65,'W10'!C$65,IF($D39='W10'!$A$66,'W10'!C$66,IF($D39='W10'!$A$67,'W10'!C$67,IF($D39='W10'!$A$68,'W10'!D278,IF($D39='W10'!$A$69,'W10'!D278,IF($D39='W10'!$A$70,'W10'!D278,IF($D39='W10'!$A$71,"")))))))))))))</f>
        <v/>
      </c>
      <c r="G39" s="379"/>
      <c r="H39" s="366" t="str">
        <f>IF($D39='W10'!$A$59,'W10'!D$59,IF($D39='W10'!$A$60,'W10'!D$60,IF($D39='W10'!$A$61,'W10'!D$61,IF($D39='W10'!$A$62,'W10'!D$62,IF($D39='W10'!$A$63,'W10'!D$63,IF($D39='W10'!$A$64,'W10'!D$64,IF($D39='W10'!$A$65,'W10'!D$65,IF($D39='W10'!$A$66,'W10'!D$66,IF($D39='W10'!$A$67,'W10'!D$67,IF($D39='W10'!$A$68,'W10'!F278,IF($D39='W10'!$A$69,'W10'!F278,IF($D39='W10'!$A$70,'W10'!F278,IF($D39='W10'!$A$71,"")))))))))))))</f>
        <v/>
      </c>
      <c r="I39" s="367"/>
      <c r="J39" s="366" t="str">
        <f>IF($D39='W10'!$A$59,'W10'!E$59,IF($D39='W10'!$A$60,'W10'!E$60,IF($D39='W10'!$A$61,'W10'!E$61,IF($D39='W10'!$A$62,'W10'!E$62,IF($D39='W10'!$A$63,'W10'!E$63,IF($D39='W10'!$A$64,'W10'!E$64,IF($D39='W10'!$A$65,'W10'!E$65,IF($D39='W10'!$A$66,'W10'!E$66,IF($D39='W10'!$A$67,'W10'!E$67,IF($D39='W10'!$A$68,'W10'!H278,IF($D39='W10'!$A$69,'W10'!H278,IF($D39='W10'!$A$70,'W10'!H278,IF($D39='W10'!$A$71,"")))))))))))))</f>
        <v/>
      </c>
      <c r="K39" s="367"/>
      <c r="L39" s="366" t="str">
        <f>IF($D39='W10'!$A$59,'W10'!F$59,IF($D39='W10'!$A$60,'W10'!F$60,IF($D39='W10'!$A$61,'W10'!F$61,IF($D39='W10'!$A$62,'W10'!F$62,IF($D39='W10'!$A$63,'W10'!F$63,IF($D39='W10'!$A$64,'W10'!F$64,IF($D39='W10'!$A$65,'W10'!F$65,IF($D39='W10'!$A$66,'W10'!F$66,IF($D39='W10'!$A$67,'W10'!F$67,IF($D39='W10'!$A$68,'W10'!J278,IF($D39='W10'!$A$69,'W10'!J278,IF($D39='W10'!$A$70,'W10'!J278,IF($D39='W10'!$A$71,"")))))))))))))</f>
        <v/>
      </c>
      <c r="M39" s="367"/>
      <c r="N39" s="187">
        <f ca="1">IF(N11=0,0,IF(AND($D39="F-SMRA",N11=0),0,IF(AND($D39="F-SMRB",N11=0),0,IF(AND($D39="F-SMRC",N11=0),0,IF($D39='W10'!$A$68,'W10'!B304,IF($D39='W10'!$A$69,'W10'!B304,IF($D39='W10'!$A$70,'W10'!B304,ROUND(('R10'!N11/'W10'!$C$5*'W10'!$C$9*(IF('R10'!$D39='W10'!$A$47,'W10'!B$47,IF('R10'!$D39='W10'!$A$48,'W10'!B$48,IF('R10'!$D39='W10'!$A$49,'W10'!B$49,IF('R10'!$D39='W10'!$A$50,'W10'!B$50,IF('R10'!$D39='W10'!$A$51,'W10'!B$51,IF('R10'!$D39='W10'!$A$52,'W10'!B$52,IF('R10'!$D39='W10'!$A$53,'W10'!B$53,IF('R10'!$D39='W10'!$A$54,'W10'!B$54,IF('R10'!$D39='W10'!$A$55,'W10'!B$55))))))))))),0)+ROUND(N11/'W10'!$C$5*'W10'!$C$10*(IF('R10'!$D39='W10'!$A$47,'W10'!C$47,IF('R10'!$D39='W10'!$A$48,'W10'!C$48,IF('R10'!$D39='W10'!$A$49,'W10'!C$49,IF('R10'!$D39='W10'!$A$50,'W10'!C$50,IF('R10'!$D39='W10'!$A$51,'W10'!C$51,IF('R10'!$D39='W10'!$A$52,'W10'!C$52,IF('R10'!$D39='W10'!$A$53,'W10'!C$53,IF('R10'!$D39='W10'!$A$54,'W10'!C$54,IF('R10'!$D39='W10'!$A$55,'W10'!C$55)))))))))),0))))))))</f>
        <v>0</v>
      </c>
      <c r="O39" s="187">
        <f ca="1">IF(O11=0,0,IF(AND($D39="F-SMRA",O11=0),0,IF(AND($D39="F-SMRB",O11=0),0,IF(AND($D39="F-SMRC",O11=0),0,IF($D39='W10'!$A$68,'W10'!D304,IF($D39='W10'!$A$69,'W10'!D304,IF($D39='W10'!$A$70,'W10'!D304,ROUND(('R10'!O11/'W10'!$D$5*'W10'!$D$9*(IF('R10'!$D39='W10'!$A$47,'W10'!D$47,IF('R10'!$D39='W10'!$A$48,'W10'!D$48,IF('R10'!$D39='W10'!$A$49,'W10'!D$49,IF('R10'!$D39='W10'!$A$50,'W10'!D$50,IF('R10'!$D39='W10'!$A$51,'W10'!D$51,IF('R10'!$D39='W10'!$A$52,'W10'!D$52,IF('R10'!$D39='W10'!$A$53,'W10'!D$53,IF('R10'!$D39='W10'!$A$54,'W10'!D$54,IF('R10'!$D39='W10'!$A$55,'W10'!D$55))))))))))),0)+ROUND(O11/'W10'!$D$5*'W10'!$D$10*(IF('R10'!$D39='W10'!$A$47,'W10'!E$47,IF('R10'!$D39='W10'!$A$48,'W10'!E$48,IF('R10'!$D39='W10'!$A$49,'W10'!E$49,IF('R10'!$D39='W10'!$A$50,'W10'!E$50,IF('R10'!$D39='W10'!$A$51,'W10'!E$51,IF('R10'!$D39='W10'!$A$52,'W10'!E$52,IF('R10'!$D39='W10'!$A$53,'W10'!E$53,IF('R10'!$D39='W10'!$A$54,'W10'!E$54,IF('R10'!$D39='W10'!$A$55,'W10'!E$55)))))))))),0))))))))</f>
        <v>0</v>
      </c>
      <c r="P39" s="187">
        <f ca="1">IF(P11=0,0,IF(AND($D39="F-SMRA",P11=0),0,IF(AND($D39="F-SMRB",P11=0),0,IF(AND($D39="F-SMRC",P11=0),0,IF($D39='W10'!$A$68,'W10'!F304,IF($D39='W10'!$A$69,'W10'!F304,IF($D39='W10'!$A$70,'W10'!F304,ROUND(('R10'!P11/'W10'!$E$5*'W10'!$E$9*(IF('R10'!$D39='W10'!$A$47,'W10'!F$47,IF('R10'!$D39='W10'!$A$48,'W10'!F$48,IF('R10'!$D39='W10'!$A$49,'W10'!F$49,IF('R10'!$D39='W10'!$A$50,'W10'!F$50,IF('R10'!$D39='W10'!$A$51,'W10'!F$51,IF('R10'!$D39='W10'!$A$52,'W10'!F$52,IF('R10'!$D39='W10'!$A$53,'W10'!F$53,IF('R10'!$D39='W10'!$A$54,'W10'!F$54,IF('R10'!$D39='W10'!$A$55,'W10'!F$55))))))))))),0)+ROUND(P11/'W10'!$E$5*'W10'!$E$10*(IF('R10'!$D39='W10'!$A$47,'W10'!G$47,IF('R10'!$D39='W10'!$A$48,'W10'!G$48,IF('R10'!$D39='W10'!$A$49,'W10'!G$49,IF('R10'!$D39='W10'!$A$50,'W10'!G$50,IF('R10'!$D39='W10'!$A$51,'W10'!G$51,IF('R10'!$D39='W10'!$A$52,'W10'!G$52,IF('R10'!$D39='W10'!$A$53,'W10'!G$53,IF('R10'!$D39='W10'!$A$54,'W10'!G$54,IF('R10'!$D39='W10'!$A$55,'W10'!G$55)))))))))),0))))))))</f>
        <v>0</v>
      </c>
      <c r="Q39" s="187">
        <f ca="1">IF(Q11=0,0,IF(AND($D39="F-SMRA",Q11=0),0,IF(AND($D39="F-SMRB",Q11=0),0,IF(AND($D39="F-SMRC",Q11=0),0,IF($D39='W10'!$A$68,'W10'!H304,IF($D39='W10'!$A$69,'W10'!H304,IF($D39='W10'!$A$70,'W10'!H304,ROUND(('R10'!Q11/'W10'!$F$5*'W10'!$F$9*(IF('R10'!$D39='W10'!$A$47,'W10'!H$47,IF('R10'!$D39='W10'!$A$48,'W10'!H$48,IF('R10'!$D39='W10'!$A$49,'W10'!H$49,IF('R10'!$D39='W10'!$A$50,'W10'!H$50,IF('R10'!$D39='W10'!$A$51,'W10'!H$51,IF('R10'!$D39='W10'!$A$52,'W10'!H$52,IF('R10'!$D39='W10'!$A$53,'W10'!H$53,IF('R10'!$D39='W10'!$A$54,'W10'!H$54,IF('R10'!$D39='W10'!$A$55,'W10'!H$55))))))))))),0)+ROUND(Q11/'W10'!$F$5*'W10'!$F$10*(IF('R10'!$D39='W10'!$A$47,'W10'!I$47,IF('R10'!$D39='W10'!$A$48,'W10'!I$48,IF('R10'!$D39='W10'!$A$49,'W10'!I$49,IF('R10'!$D39='W10'!$A$50,'W10'!I$50,IF('R10'!$D39='W10'!$A$51,'W10'!I$51,IF('R10'!$D39='W10'!$A$52,'W10'!I$52,IF('R10'!$D39='W10'!$A$53,'W10'!I$53,IF('R10'!$D39='W10'!$A$54,'W10'!I$54,IF('R10'!$D39='W10'!$A$55,'W10'!I$55)))))))))),0))))))))</f>
        <v>0</v>
      </c>
      <c r="R39" s="187">
        <f ca="1">IF(R11=0,0,IF(AND($D39="F-SMRA",R11=0),0,IF(AND($D39="F-SMRB",R11=0),0,IF(AND($D39="F-SMRC",R11=0),0,IF($D39='W10'!$A$68,'W10'!J304,IF($D39='W10'!$A$69,'W10'!J304,IF($D39='W10'!$A$70,'W10'!J304,ROUND(('R10'!R11/'W10'!$G$5*'W10'!$G$9*(IF('R10'!$D39='W10'!$A$47,'W10'!J$47,IF('R10'!$D39='W10'!$A$48,'W10'!J$48,IF('R10'!$D39='W10'!$A$49,'W10'!J$49,IF('R10'!$D39='W10'!$A$50,'W10'!J$50,IF('R10'!$D39='W10'!$A$51,'W10'!J$51,IF('R10'!$D39='W10'!$A$52,'W10'!J$52,IF('R10'!$D39='W10'!$A$53,'W10'!J$53,IF('R10'!$D39='W10'!$A$54,'W10'!J$54,IF('R10'!$D39='W10'!$A$55,'W10'!J$55))))))))))),0)+ROUND(R11/'W10'!$G$5*'W10'!$G$10*(IF('R10'!$D39='W10'!$A$47,'W10'!K$47,IF('R10'!$D39='W10'!$A$48,'W10'!K$48,IF('R10'!$D39='W10'!$A$49,'W10'!K$49,IF('R10'!$D39='W10'!$A$50,'W10'!K$50,IF('R10'!$D39='W10'!$A$51,'W10'!K$51,IF('R10'!$D39='W10'!$A$52,'W10'!K$52,IF('R10'!$D39='W10'!$A$53,'W10'!K$53,IF('R10'!$D39='W10'!$A$54,'W10'!K$54,IF('R10'!$D39='W10'!$A$55,'W10'!K$55)))))))))),0))))))))</f>
        <v>0</v>
      </c>
      <c r="S39" s="187">
        <f t="shared" ca="1" si="3"/>
        <v>0</v>
      </c>
      <c r="T39" s="248"/>
      <c r="U39" s="248"/>
      <c r="V39" s="248"/>
      <c r="W39" s="248"/>
      <c r="X39" s="248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</row>
    <row r="40" spans="1:51" x14ac:dyDescent="0.2">
      <c r="A40" s="92">
        <v>5</v>
      </c>
      <c r="B40" s="381">
        <f t="shared" si="2"/>
        <v>0</v>
      </c>
      <c r="C40" s="382"/>
      <c r="D40" s="199" t="s">
        <v>52</v>
      </c>
      <c r="E40" s="265" t="str">
        <f>IF($D40='W10'!$A$59,'W10'!B$59,IF($D40='W10'!$A$60,'W10'!B$60,IF($D40='W10'!$A$61,'W10'!B$61,IF($D40='W10'!$A$62,'W10'!B$62,IF($D40='W10'!$A$63,'W10'!B$63,IF($D40='W10'!$A$64,'W10'!B$64,IF($D40='W10'!$A$65,'W10'!B$65,IF($D40='W10'!$A$66,'W10'!B$66,IF($D40='W10'!$A$67,'W10'!B$67,IF($D40='W10'!$A$68,'W10'!B279,IF($D40='W10'!$A$69,'W10'!B279,IF($D40='W10'!$A$70,'W10'!B279,IF($D40='W10'!$A$71,"")))))))))))))</f>
        <v/>
      </c>
      <c r="F40" s="378" t="str">
        <f>IF($D40='W10'!$A$59,'W10'!C$59,IF($D40='W10'!$A$60,'W10'!C$60,IF($D40='W10'!$A$61,'W10'!C$61,IF($D40='W10'!$A$62,'W10'!C$62,IF($D40='W10'!$A$63,'W10'!C$63,IF($D40='W10'!$A$64,'W10'!C$64,IF($D40='W10'!$A$65,'W10'!C$65,IF($D40='W10'!$A$66,'W10'!C$66,IF($D40='W10'!$A$67,'W10'!C$67,IF($D40='W10'!$A$68,'W10'!D279,IF($D40='W10'!$A$69,'W10'!D279,IF($D40='W10'!$A$70,'W10'!D279,IF($D40='W10'!$A$71,"")))))))))))))</f>
        <v/>
      </c>
      <c r="G40" s="379"/>
      <c r="H40" s="366" t="str">
        <f>IF($D40='W10'!$A$59,'W10'!D$59,IF($D40='W10'!$A$60,'W10'!D$60,IF($D40='W10'!$A$61,'W10'!D$61,IF($D40='W10'!$A$62,'W10'!D$62,IF($D40='W10'!$A$63,'W10'!D$63,IF($D40='W10'!$A$64,'W10'!D$64,IF($D40='W10'!$A$65,'W10'!D$65,IF($D40='W10'!$A$66,'W10'!D$66,IF($D40='W10'!$A$67,'W10'!D$67,IF($D40='W10'!$A$68,'W10'!F279,IF($D40='W10'!$A$69,'W10'!F279,IF($D40='W10'!$A$70,'W10'!F279,IF($D40='W10'!$A$71,"")))))))))))))</f>
        <v/>
      </c>
      <c r="I40" s="367"/>
      <c r="J40" s="366" t="str">
        <f>IF($D40='W10'!$A$59,'W10'!E$59,IF($D40='W10'!$A$60,'W10'!E$60,IF($D40='W10'!$A$61,'W10'!E$61,IF($D40='W10'!$A$62,'W10'!E$62,IF($D40='W10'!$A$63,'W10'!E$63,IF($D40='W10'!$A$64,'W10'!E$64,IF($D40='W10'!$A$65,'W10'!E$65,IF($D40='W10'!$A$66,'W10'!E$66,IF($D40='W10'!$A$67,'W10'!E$67,IF($D40='W10'!$A$68,'W10'!H279,IF($D40='W10'!$A$69,'W10'!H279,IF($D40='W10'!$A$70,'W10'!H279,IF($D40='W10'!$A$71,"")))))))))))))</f>
        <v/>
      </c>
      <c r="K40" s="367"/>
      <c r="L40" s="366" t="str">
        <f>IF($D40='W10'!$A$59,'W10'!F$59,IF($D40='W10'!$A$60,'W10'!F$60,IF($D40='W10'!$A$61,'W10'!F$61,IF($D40='W10'!$A$62,'W10'!F$62,IF($D40='W10'!$A$63,'W10'!F$63,IF($D40='W10'!$A$64,'W10'!F$64,IF($D40='W10'!$A$65,'W10'!F$65,IF($D40='W10'!$A$66,'W10'!F$66,IF($D40='W10'!$A$67,'W10'!F$67,IF($D40='W10'!$A$68,'W10'!J279,IF($D40='W10'!$A$69,'W10'!J279,IF($D40='W10'!$A$70,'W10'!J279,IF($D40='W10'!$A$71,"")))))))))))))</f>
        <v/>
      </c>
      <c r="M40" s="367"/>
      <c r="N40" s="187">
        <f ca="1">IF(N12=0,0,IF(AND($D40="F-SMRA",N12=0),0,IF(AND($D40="F-SMRB",N12=0),0,IF(AND($D40="F-SMRC",N12=0),0,IF($D40='W10'!$A$68,'W10'!B305,IF($D40='W10'!$A$69,'W10'!B305,IF($D40='W10'!$A$70,'W10'!B305,ROUND(('R10'!N12/'W10'!$C$5*'W10'!$C$9*(IF('R10'!$D40='W10'!$A$47,'W10'!B$47,IF('R10'!$D40='W10'!$A$48,'W10'!B$48,IF('R10'!$D40='W10'!$A$49,'W10'!B$49,IF('R10'!$D40='W10'!$A$50,'W10'!B$50,IF('R10'!$D40='W10'!$A$51,'W10'!B$51,IF('R10'!$D40='W10'!$A$52,'W10'!B$52,IF('R10'!$D40='W10'!$A$53,'W10'!B$53,IF('R10'!$D40='W10'!$A$54,'W10'!B$54,IF('R10'!$D40='W10'!$A$55,'W10'!B$55))))))))))),0)+ROUND(N12/'W10'!$C$5*'W10'!$C$10*(IF('R10'!$D40='W10'!$A$47,'W10'!C$47,IF('R10'!$D40='W10'!$A$48,'W10'!C$48,IF('R10'!$D40='W10'!$A$49,'W10'!C$49,IF('R10'!$D40='W10'!$A$50,'W10'!C$50,IF('R10'!$D40='W10'!$A$51,'W10'!C$51,IF('R10'!$D40='W10'!$A$52,'W10'!C$52,IF('R10'!$D40='W10'!$A$53,'W10'!C$53,IF('R10'!$D40='W10'!$A$54,'W10'!C$54,IF('R10'!$D40='W10'!$A$55,'W10'!C$55)))))))))),0))))))))</f>
        <v>0</v>
      </c>
      <c r="O40" s="187">
        <f ca="1">IF(O12=0,0,IF(AND($D40="F-SMRA",O12=0),0,IF(AND($D40="F-SMRB",O12=0),0,IF(AND($D40="F-SMRC",O12=0),0,IF($D40='W10'!$A$68,'W10'!D305,IF($D40='W10'!$A$69,'W10'!D305,IF($D40='W10'!$A$70,'W10'!D305,ROUND(('R10'!O12/'W10'!$D$5*'W10'!$D$9*(IF('R10'!$D40='W10'!$A$47,'W10'!D$47,IF('R10'!$D40='W10'!$A$48,'W10'!D$48,IF('R10'!$D40='W10'!$A$49,'W10'!D$49,IF('R10'!$D40='W10'!$A$50,'W10'!D$50,IF('R10'!$D40='W10'!$A$51,'W10'!D$51,IF('R10'!$D40='W10'!$A$52,'W10'!D$52,IF('R10'!$D40='W10'!$A$53,'W10'!D$53,IF('R10'!$D40='W10'!$A$54,'W10'!D$54,IF('R10'!$D40='W10'!$A$55,'W10'!D$55))))))))))),0)+ROUND(O12/'W10'!$D$5*'W10'!$D$10*(IF('R10'!$D40='W10'!$A$47,'W10'!E$47,IF('R10'!$D40='W10'!$A$48,'W10'!E$48,IF('R10'!$D40='W10'!$A$49,'W10'!E$49,IF('R10'!$D40='W10'!$A$50,'W10'!E$50,IF('R10'!$D40='W10'!$A$51,'W10'!E$51,IF('R10'!$D40='W10'!$A$52,'W10'!E$52,IF('R10'!$D40='W10'!$A$53,'W10'!E$53,IF('R10'!$D40='W10'!$A$54,'W10'!E$54,IF('R10'!$D40='W10'!$A$55,'W10'!E$55)))))))))),0))))))))</f>
        <v>0</v>
      </c>
      <c r="P40" s="187">
        <f ca="1">IF(P12=0,0,IF(AND($D40="F-SMRA",P12=0),0,IF(AND($D40="F-SMRB",P12=0),0,IF(AND($D40="F-SMRC",P12=0),0,IF($D40='W10'!$A$68,'W10'!F305,IF($D40='W10'!$A$69,'W10'!F305,IF($D40='W10'!$A$70,'W10'!F305,ROUND(('R10'!P12/'W10'!$E$5*'W10'!$E$9*(IF('R10'!$D40='W10'!$A$47,'W10'!F$47,IF('R10'!$D40='W10'!$A$48,'W10'!F$48,IF('R10'!$D40='W10'!$A$49,'W10'!F$49,IF('R10'!$D40='W10'!$A$50,'W10'!F$50,IF('R10'!$D40='W10'!$A$51,'W10'!F$51,IF('R10'!$D40='W10'!$A$52,'W10'!F$52,IF('R10'!$D40='W10'!$A$53,'W10'!F$53,IF('R10'!$D40='W10'!$A$54,'W10'!F$54,IF('R10'!$D40='W10'!$A$55,'W10'!F$55))))))))))),0)+ROUND(P12/'W10'!$E$5*'W10'!$E$10*(IF('R10'!$D40='W10'!$A$47,'W10'!G$47,IF('R10'!$D40='W10'!$A$48,'W10'!G$48,IF('R10'!$D40='W10'!$A$49,'W10'!G$49,IF('R10'!$D40='W10'!$A$50,'W10'!G$50,IF('R10'!$D40='W10'!$A$51,'W10'!G$51,IF('R10'!$D40='W10'!$A$52,'W10'!G$52,IF('R10'!$D40='W10'!$A$53,'W10'!G$53,IF('R10'!$D40='W10'!$A$54,'W10'!G$54,IF('R10'!$D40='W10'!$A$55,'W10'!G$55)))))))))),0))))))))</f>
        <v>0</v>
      </c>
      <c r="Q40" s="187">
        <f ca="1">IF(Q12=0,0,IF(AND($D40="F-SMRA",Q12=0),0,IF(AND($D40="F-SMRB",Q12=0),0,IF(AND($D40="F-SMRC",Q12=0),0,IF($D40='W10'!$A$68,'W10'!H305,IF($D40='W10'!$A$69,'W10'!H305,IF($D40='W10'!$A$70,'W10'!H305,ROUND(('R10'!Q12/'W10'!$F$5*'W10'!$F$9*(IF('R10'!$D40='W10'!$A$47,'W10'!H$47,IF('R10'!$D40='W10'!$A$48,'W10'!H$48,IF('R10'!$D40='W10'!$A$49,'W10'!H$49,IF('R10'!$D40='W10'!$A$50,'W10'!H$50,IF('R10'!$D40='W10'!$A$51,'W10'!H$51,IF('R10'!$D40='W10'!$A$52,'W10'!H$52,IF('R10'!$D40='W10'!$A$53,'W10'!H$53,IF('R10'!$D40='W10'!$A$54,'W10'!H$54,IF('R10'!$D40='W10'!$A$55,'W10'!H$55))))))))))),0)+ROUND(Q12/'W10'!$F$5*'W10'!$F$10*(IF('R10'!$D40='W10'!$A$47,'W10'!I$47,IF('R10'!$D40='W10'!$A$48,'W10'!I$48,IF('R10'!$D40='W10'!$A$49,'W10'!I$49,IF('R10'!$D40='W10'!$A$50,'W10'!I$50,IF('R10'!$D40='W10'!$A$51,'W10'!I$51,IF('R10'!$D40='W10'!$A$52,'W10'!I$52,IF('R10'!$D40='W10'!$A$53,'W10'!I$53,IF('R10'!$D40='W10'!$A$54,'W10'!I$54,IF('R10'!$D40='W10'!$A$55,'W10'!I$55)))))))))),0))))))))</f>
        <v>0</v>
      </c>
      <c r="R40" s="187">
        <f ca="1">IF(R12=0,0,IF(AND($D40="F-SMRA",R12=0),0,IF(AND($D40="F-SMRB",R12=0),0,IF(AND($D40="F-SMRC",R12=0),0,IF($D40='W10'!$A$68,'W10'!J305,IF($D40='W10'!$A$69,'W10'!J305,IF($D40='W10'!$A$70,'W10'!J305,ROUND(('R10'!R12/'W10'!$G$5*'W10'!$G$9*(IF('R10'!$D40='W10'!$A$47,'W10'!J$47,IF('R10'!$D40='W10'!$A$48,'W10'!J$48,IF('R10'!$D40='W10'!$A$49,'W10'!J$49,IF('R10'!$D40='W10'!$A$50,'W10'!J$50,IF('R10'!$D40='W10'!$A$51,'W10'!J$51,IF('R10'!$D40='W10'!$A$52,'W10'!J$52,IF('R10'!$D40='W10'!$A$53,'W10'!J$53,IF('R10'!$D40='W10'!$A$54,'W10'!J$54,IF('R10'!$D40='W10'!$A$55,'W10'!J$55))))))))))),0)+ROUND(R12/'W10'!$G$5*'W10'!$G$10*(IF('R10'!$D40='W10'!$A$47,'W10'!K$47,IF('R10'!$D40='W10'!$A$48,'W10'!K$48,IF('R10'!$D40='W10'!$A$49,'W10'!K$49,IF('R10'!$D40='W10'!$A$50,'W10'!K$50,IF('R10'!$D40='W10'!$A$51,'W10'!K$51,IF('R10'!$D40='W10'!$A$52,'W10'!K$52,IF('R10'!$D40='W10'!$A$53,'W10'!K$53,IF('R10'!$D40='W10'!$A$54,'W10'!K$54,IF('R10'!$D40='W10'!$A$55,'W10'!K$55)))))))))),0))))))))</f>
        <v>0</v>
      </c>
      <c r="S40" s="187">
        <f t="shared" ca="1" si="3"/>
        <v>0</v>
      </c>
      <c r="T40" s="248"/>
      <c r="U40" s="248"/>
      <c r="V40" s="248"/>
      <c r="W40" s="248"/>
      <c r="X40" s="248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</row>
    <row r="41" spans="1:51" x14ac:dyDescent="0.2">
      <c r="A41" s="92">
        <v>6</v>
      </c>
      <c r="B41" s="381">
        <f t="shared" si="2"/>
        <v>0</v>
      </c>
      <c r="C41" s="382"/>
      <c r="D41" s="199" t="s">
        <v>52</v>
      </c>
      <c r="E41" s="265" t="str">
        <f>IF($D41='W10'!$A$59,'W10'!B$59,IF($D41='W10'!$A$60,'W10'!B$60,IF($D41='W10'!$A$61,'W10'!B$61,IF($D41='W10'!$A$62,'W10'!B$62,IF($D41='W10'!$A$63,'W10'!B$63,IF($D41='W10'!$A$64,'W10'!B$64,IF($D41='W10'!$A$65,'W10'!B$65,IF($D41='W10'!$A$66,'W10'!B$66,IF($D41='W10'!$A$67,'W10'!B$67,IF($D41='W10'!$A$68,'W10'!B280,IF($D41='W10'!$A$69,'W10'!B280,IF($D41='W10'!$A$70,'W10'!B280,IF($D41='W10'!$A$71,"")))))))))))))</f>
        <v/>
      </c>
      <c r="F41" s="378" t="str">
        <f>IF($D41='W10'!$A$59,'W10'!C$59,IF($D41='W10'!$A$60,'W10'!C$60,IF($D41='W10'!$A$61,'W10'!C$61,IF($D41='W10'!$A$62,'W10'!C$62,IF($D41='W10'!$A$63,'W10'!C$63,IF($D41='W10'!$A$64,'W10'!C$64,IF($D41='W10'!$A$65,'W10'!C$65,IF($D41='W10'!$A$66,'W10'!C$66,IF($D41='W10'!$A$67,'W10'!C$67,IF($D41='W10'!$A$68,'W10'!D280,IF($D41='W10'!$A$69,'W10'!D280,IF($D41='W10'!$A$70,'W10'!D280,IF($D41='W10'!$A$71,"")))))))))))))</f>
        <v/>
      </c>
      <c r="G41" s="379"/>
      <c r="H41" s="366" t="str">
        <f>IF($D41='W10'!$A$59,'W10'!D$59,IF($D41='W10'!$A$60,'W10'!D$60,IF($D41='W10'!$A$61,'W10'!D$61,IF($D41='W10'!$A$62,'W10'!D$62,IF($D41='W10'!$A$63,'W10'!D$63,IF($D41='W10'!$A$64,'W10'!D$64,IF($D41='W10'!$A$65,'W10'!D$65,IF($D41='W10'!$A$66,'W10'!D$66,IF($D41='W10'!$A$67,'W10'!D$67,IF($D41='W10'!$A$68,'W10'!F280,IF($D41='W10'!$A$69,'W10'!F280,IF($D41='W10'!$A$70,'W10'!F280,IF($D41='W10'!$A$71,"")))))))))))))</f>
        <v/>
      </c>
      <c r="I41" s="367"/>
      <c r="J41" s="366" t="str">
        <f>IF($D41='W10'!$A$59,'W10'!E$59,IF($D41='W10'!$A$60,'W10'!E$60,IF($D41='W10'!$A$61,'W10'!E$61,IF($D41='W10'!$A$62,'W10'!E$62,IF($D41='W10'!$A$63,'W10'!E$63,IF($D41='W10'!$A$64,'W10'!E$64,IF($D41='W10'!$A$65,'W10'!E$65,IF($D41='W10'!$A$66,'W10'!E$66,IF($D41='W10'!$A$67,'W10'!E$67,IF($D41='W10'!$A$68,'W10'!H280,IF($D41='W10'!$A$69,'W10'!H280,IF($D41='W10'!$A$70,'W10'!H280,IF($D41='W10'!$A$71,"")))))))))))))</f>
        <v/>
      </c>
      <c r="K41" s="367"/>
      <c r="L41" s="366" t="str">
        <f>IF($D41='W10'!$A$59,'W10'!F$59,IF($D41='W10'!$A$60,'W10'!F$60,IF($D41='W10'!$A$61,'W10'!F$61,IF($D41='W10'!$A$62,'W10'!F$62,IF($D41='W10'!$A$63,'W10'!F$63,IF($D41='W10'!$A$64,'W10'!F$64,IF($D41='W10'!$A$65,'W10'!F$65,IF($D41='W10'!$A$66,'W10'!F$66,IF($D41='W10'!$A$67,'W10'!F$67,IF($D41='W10'!$A$68,'W10'!J280,IF($D41='W10'!$A$69,'W10'!J280,IF($D41='W10'!$A$70,'W10'!J280,IF($D41='W10'!$A$71,"")))))))))))))</f>
        <v/>
      </c>
      <c r="M41" s="367"/>
      <c r="N41" s="187">
        <f ca="1">IF(N13=0,0,IF(AND($D41="F-SMRA",N13=0),0,IF(AND($D41="F-SMRB",N13=0),0,IF(AND($D41="F-SMRC",N13=0),0,IF($D41='W10'!$A$68,'W10'!B306,IF($D41='W10'!$A$69,'W10'!B306,IF($D41='W10'!$A$70,'W10'!B306,ROUND(('R10'!N13/'W10'!$C$5*'W10'!$C$9*(IF('R10'!$D41='W10'!$A$47,'W10'!B$47,IF('R10'!$D41='W10'!$A$48,'W10'!B$48,IF('R10'!$D41='W10'!$A$49,'W10'!B$49,IF('R10'!$D41='W10'!$A$50,'W10'!B$50,IF('R10'!$D41='W10'!$A$51,'W10'!B$51,IF('R10'!$D41='W10'!$A$52,'W10'!B$52,IF('R10'!$D41='W10'!$A$53,'W10'!B$53,IF('R10'!$D41='W10'!$A$54,'W10'!B$54,IF('R10'!$D41='W10'!$A$55,'W10'!B$55))))))))))),0)+ROUND(N13/'W10'!$C$5*'W10'!$C$10*(IF('R10'!$D41='W10'!$A$47,'W10'!C$47,IF('R10'!$D41='W10'!$A$48,'W10'!C$48,IF('R10'!$D41='W10'!$A$49,'W10'!C$49,IF('R10'!$D41='W10'!$A$50,'W10'!C$50,IF('R10'!$D41='W10'!$A$51,'W10'!C$51,IF('R10'!$D41='W10'!$A$52,'W10'!C$52,IF('R10'!$D41='W10'!$A$53,'W10'!C$53,IF('R10'!$D41='W10'!$A$54,'W10'!C$54,IF('R10'!$D41='W10'!$A$55,'W10'!C$55)))))))))),0))))))))</f>
        <v>0</v>
      </c>
      <c r="O41" s="187">
        <f ca="1">IF(O13=0,0,IF(AND($D41="F-SMRA",O13=0),0,IF(AND($D41="F-SMRB",O13=0),0,IF(AND($D41="F-SMRC",O13=0),0,IF($D41='W10'!$A$68,'W10'!D306,IF($D41='W10'!$A$69,'W10'!D306,IF($D41='W10'!$A$70,'W10'!D306,ROUND(('R10'!O13/'W10'!$D$5*'W10'!$D$9*(IF('R10'!$D41='W10'!$A$47,'W10'!D$47,IF('R10'!$D41='W10'!$A$48,'W10'!D$48,IF('R10'!$D41='W10'!$A$49,'W10'!D$49,IF('R10'!$D41='W10'!$A$50,'W10'!D$50,IF('R10'!$D41='W10'!$A$51,'W10'!D$51,IF('R10'!$D41='W10'!$A$52,'W10'!D$52,IF('R10'!$D41='W10'!$A$53,'W10'!D$53,IF('R10'!$D41='W10'!$A$54,'W10'!D$54,IF('R10'!$D41='W10'!$A$55,'W10'!D$55))))))))))),0)+ROUND(O13/'W10'!$D$5*'W10'!$D$10*(IF('R10'!$D41='W10'!$A$47,'W10'!E$47,IF('R10'!$D41='W10'!$A$48,'W10'!E$48,IF('R10'!$D41='W10'!$A$49,'W10'!E$49,IF('R10'!$D41='W10'!$A$50,'W10'!E$50,IF('R10'!$D41='W10'!$A$51,'W10'!E$51,IF('R10'!$D41='W10'!$A$52,'W10'!E$52,IF('R10'!$D41='W10'!$A$53,'W10'!E$53,IF('R10'!$D41='W10'!$A$54,'W10'!E$54,IF('R10'!$D41='W10'!$A$55,'W10'!E$55)))))))))),0))))))))</f>
        <v>0</v>
      </c>
      <c r="P41" s="187">
        <f ca="1">IF(P13=0,0,IF(AND($D41="F-SMRA",P13=0),0,IF(AND($D41="F-SMRB",P13=0),0,IF(AND($D41="F-SMRC",P13=0),0,IF($D41='W10'!$A$68,'W10'!F306,IF($D41='W10'!$A$69,'W10'!F306,IF($D41='W10'!$A$70,'W10'!F306,ROUND(('R10'!P13/'W10'!$E$5*'W10'!$E$9*(IF('R10'!$D41='W10'!$A$47,'W10'!F$47,IF('R10'!$D41='W10'!$A$48,'W10'!F$48,IF('R10'!$D41='W10'!$A$49,'W10'!F$49,IF('R10'!$D41='W10'!$A$50,'W10'!F$50,IF('R10'!$D41='W10'!$A$51,'W10'!F$51,IF('R10'!$D41='W10'!$A$52,'W10'!F$52,IF('R10'!$D41='W10'!$A$53,'W10'!F$53,IF('R10'!$D41='W10'!$A$54,'W10'!F$54,IF('R10'!$D41='W10'!$A$55,'W10'!F$55))))))))))),0)+ROUND(P13/'W10'!$E$5*'W10'!$E$10*(IF('R10'!$D41='W10'!$A$47,'W10'!G$47,IF('R10'!$D41='W10'!$A$48,'W10'!G$48,IF('R10'!$D41='W10'!$A$49,'W10'!G$49,IF('R10'!$D41='W10'!$A$50,'W10'!G$50,IF('R10'!$D41='W10'!$A$51,'W10'!G$51,IF('R10'!$D41='W10'!$A$52,'W10'!G$52,IF('R10'!$D41='W10'!$A$53,'W10'!G$53,IF('R10'!$D41='W10'!$A$54,'W10'!G$54,IF('R10'!$D41='W10'!$A$55,'W10'!G$55)))))))))),0))))))))</f>
        <v>0</v>
      </c>
      <c r="Q41" s="187">
        <f ca="1">IF(Q13=0,0,IF(AND($D41="F-SMRA",Q13=0),0,IF(AND($D41="F-SMRB",Q13=0),0,IF(AND($D41="F-SMRC",Q13=0),0,IF($D41='W10'!$A$68,'W10'!H306,IF($D41='W10'!$A$69,'W10'!H306,IF($D41='W10'!$A$70,'W10'!H306,ROUND(('R10'!Q13/'W10'!$F$5*'W10'!$F$9*(IF('R10'!$D41='W10'!$A$47,'W10'!H$47,IF('R10'!$D41='W10'!$A$48,'W10'!H$48,IF('R10'!$D41='W10'!$A$49,'W10'!H$49,IF('R10'!$D41='W10'!$A$50,'W10'!H$50,IF('R10'!$D41='W10'!$A$51,'W10'!H$51,IF('R10'!$D41='W10'!$A$52,'W10'!H$52,IF('R10'!$D41='W10'!$A$53,'W10'!H$53,IF('R10'!$D41='W10'!$A$54,'W10'!H$54,IF('R10'!$D41='W10'!$A$55,'W10'!H$55))))))))))),0)+ROUND(Q13/'W10'!$F$5*'W10'!$F$10*(IF('R10'!$D41='W10'!$A$47,'W10'!I$47,IF('R10'!$D41='W10'!$A$48,'W10'!I$48,IF('R10'!$D41='W10'!$A$49,'W10'!I$49,IF('R10'!$D41='W10'!$A$50,'W10'!I$50,IF('R10'!$D41='W10'!$A$51,'W10'!I$51,IF('R10'!$D41='W10'!$A$52,'W10'!I$52,IF('R10'!$D41='W10'!$A$53,'W10'!I$53,IF('R10'!$D41='W10'!$A$54,'W10'!I$54,IF('R10'!$D41='W10'!$A$55,'W10'!I$55)))))))))),0))))))))</f>
        <v>0</v>
      </c>
      <c r="R41" s="187">
        <f ca="1">IF(R13=0,0,IF(AND($D41="F-SMRA",R13=0),0,IF(AND($D41="F-SMRB",R13=0),0,IF(AND($D41="F-SMRC",R13=0),0,IF($D41='W10'!$A$68,'W10'!J306,IF($D41='W10'!$A$69,'W10'!J306,IF($D41='W10'!$A$70,'W10'!J306,ROUND(('R10'!R13/'W10'!$G$5*'W10'!$G$9*(IF('R10'!$D41='W10'!$A$47,'W10'!J$47,IF('R10'!$D41='W10'!$A$48,'W10'!J$48,IF('R10'!$D41='W10'!$A$49,'W10'!J$49,IF('R10'!$D41='W10'!$A$50,'W10'!J$50,IF('R10'!$D41='W10'!$A$51,'W10'!J$51,IF('R10'!$D41='W10'!$A$52,'W10'!J$52,IF('R10'!$D41='W10'!$A$53,'W10'!J$53,IF('R10'!$D41='W10'!$A$54,'W10'!J$54,IF('R10'!$D41='W10'!$A$55,'W10'!J$55))))))))))),0)+ROUND(R13/'W10'!$G$5*'W10'!$G$10*(IF('R10'!$D41='W10'!$A$47,'W10'!K$47,IF('R10'!$D41='W10'!$A$48,'W10'!K$48,IF('R10'!$D41='W10'!$A$49,'W10'!K$49,IF('R10'!$D41='W10'!$A$50,'W10'!K$50,IF('R10'!$D41='W10'!$A$51,'W10'!K$51,IF('R10'!$D41='W10'!$A$52,'W10'!K$52,IF('R10'!$D41='W10'!$A$53,'W10'!K$53,IF('R10'!$D41='W10'!$A$54,'W10'!K$54,IF('R10'!$D41='W10'!$A$55,'W10'!K$55)))))))))),0))))))))</f>
        <v>0</v>
      </c>
      <c r="S41" s="187">
        <f t="shared" ca="1" si="3"/>
        <v>0</v>
      </c>
      <c r="T41" s="248"/>
      <c r="U41" s="248"/>
      <c r="V41" s="248"/>
      <c r="W41" s="248"/>
      <c r="X41" s="248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</row>
    <row r="42" spans="1:51" x14ac:dyDescent="0.2">
      <c r="A42" s="92">
        <v>7</v>
      </c>
      <c r="B42" s="381">
        <f t="shared" si="2"/>
        <v>0</v>
      </c>
      <c r="C42" s="382"/>
      <c r="D42" s="199" t="s">
        <v>52</v>
      </c>
      <c r="E42" s="265" t="str">
        <f>IF($D42='W10'!$A$59,'W10'!B$59,IF($D42='W10'!$A$60,'W10'!B$60,IF($D42='W10'!$A$61,'W10'!B$61,IF($D42='W10'!$A$62,'W10'!B$62,IF($D42='W10'!$A$63,'W10'!B$63,IF($D42='W10'!$A$64,'W10'!B$64,IF($D42='W10'!$A$65,'W10'!B$65,IF($D42='W10'!$A$66,'W10'!B$66,IF($D42='W10'!$A$67,'W10'!B$67,IF($D42='W10'!$A$68,'W10'!B281,IF($D42='W10'!$A$69,'W10'!B281,IF($D42='W10'!$A$70,'W10'!B281,IF($D42='W10'!$A$71,"")))))))))))))</f>
        <v/>
      </c>
      <c r="F42" s="378" t="str">
        <f>IF($D42='W10'!$A$59,'W10'!C$59,IF($D42='W10'!$A$60,'W10'!C$60,IF($D42='W10'!$A$61,'W10'!C$61,IF($D42='W10'!$A$62,'W10'!C$62,IF($D42='W10'!$A$63,'W10'!C$63,IF($D42='W10'!$A$64,'W10'!C$64,IF($D42='W10'!$A$65,'W10'!C$65,IF($D42='W10'!$A$66,'W10'!C$66,IF($D42='W10'!$A$67,'W10'!C$67,IF($D42='W10'!$A$68,'W10'!D281,IF($D42='W10'!$A$69,'W10'!D281,IF($D42='W10'!$A$70,'W10'!D281,IF($D42='W10'!$A$71,"")))))))))))))</f>
        <v/>
      </c>
      <c r="G42" s="379"/>
      <c r="H42" s="366" t="str">
        <f>IF($D42='W10'!$A$59,'W10'!D$59,IF($D42='W10'!$A$60,'W10'!D$60,IF($D42='W10'!$A$61,'W10'!D$61,IF($D42='W10'!$A$62,'W10'!D$62,IF($D42='W10'!$A$63,'W10'!D$63,IF($D42='W10'!$A$64,'W10'!D$64,IF($D42='W10'!$A$65,'W10'!D$65,IF($D42='W10'!$A$66,'W10'!D$66,IF($D42='W10'!$A$67,'W10'!D$67,IF($D42='W10'!$A$68,'W10'!F281,IF($D42='W10'!$A$69,'W10'!F281,IF($D42='W10'!$A$70,'W10'!F281,IF($D42='W10'!$A$71,"")))))))))))))</f>
        <v/>
      </c>
      <c r="I42" s="367"/>
      <c r="J42" s="366" t="str">
        <f>IF($D42='W10'!$A$59,'W10'!E$59,IF($D42='W10'!$A$60,'W10'!E$60,IF($D42='W10'!$A$61,'W10'!E$61,IF($D42='W10'!$A$62,'W10'!E$62,IF($D42='W10'!$A$63,'W10'!E$63,IF($D42='W10'!$A$64,'W10'!E$64,IF($D42='W10'!$A$65,'W10'!E$65,IF($D42='W10'!$A$66,'W10'!E$66,IF($D42='W10'!$A$67,'W10'!E$67,IF($D42='W10'!$A$68,'W10'!H281,IF($D42='W10'!$A$69,'W10'!H281,IF($D42='W10'!$A$70,'W10'!H281,IF($D42='W10'!$A$71,"")))))))))))))</f>
        <v/>
      </c>
      <c r="K42" s="367"/>
      <c r="L42" s="366" t="str">
        <f>IF($D42='W10'!$A$59,'W10'!F$59,IF($D42='W10'!$A$60,'W10'!F$60,IF($D42='W10'!$A$61,'W10'!F$61,IF($D42='W10'!$A$62,'W10'!F$62,IF($D42='W10'!$A$63,'W10'!F$63,IF($D42='W10'!$A$64,'W10'!F$64,IF($D42='W10'!$A$65,'W10'!F$65,IF($D42='W10'!$A$66,'W10'!F$66,IF($D42='W10'!$A$67,'W10'!F$67,IF($D42='W10'!$A$68,'W10'!J281,IF($D42='W10'!$A$69,'W10'!J281,IF($D42='W10'!$A$70,'W10'!J281,IF($D42='W10'!$A$71,"")))))))))))))</f>
        <v/>
      </c>
      <c r="M42" s="367"/>
      <c r="N42" s="187">
        <f ca="1">IF(N14=0,0,IF(AND($D42="F-SMRA",N14=0),0,IF(AND($D42="F-SMRB",N14=0),0,IF(AND($D42="F-SMRC",N14=0),0,IF($D42='W10'!$A$68,'W10'!B307,IF($D42='W10'!$A$69,'W10'!B307,IF($D42='W10'!$A$70,'W10'!B307,ROUND(('R10'!N14/'W10'!$C$5*'W10'!$C$9*(IF('R10'!$D42='W10'!$A$47,'W10'!B$47,IF('R10'!$D42='W10'!$A$48,'W10'!B$48,IF('R10'!$D42='W10'!$A$49,'W10'!B$49,IF('R10'!$D42='W10'!$A$50,'W10'!B$50,IF('R10'!$D42='W10'!$A$51,'W10'!B$51,IF('R10'!$D42='W10'!$A$52,'W10'!B$52,IF('R10'!$D42='W10'!$A$53,'W10'!B$53,IF('R10'!$D42='W10'!$A$54,'W10'!B$54,IF('R10'!$D42='W10'!$A$55,'W10'!B$55))))))))))),0)+ROUND(N14/'W10'!$C$5*'W10'!$C$10*(IF('R10'!$D42='W10'!$A$47,'W10'!C$47,IF('R10'!$D42='W10'!$A$48,'W10'!C$48,IF('R10'!$D42='W10'!$A$49,'W10'!C$49,IF('R10'!$D42='W10'!$A$50,'W10'!C$50,IF('R10'!$D42='W10'!$A$51,'W10'!C$51,IF('R10'!$D42='W10'!$A$52,'W10'!C$52,IF('R10'!$D42='W10'!$A$53,'W10'!C$53,IF('R10'!$D42='W10'!$A$54,'W10'!C$54,IF('R10'!$D42='W10'!$A$55,'W10'!C$55)))))))))),0))))))))</f>
        <v>0</v>
      </c>
      <c r="O42" s="187">
        <f ca="1">IF(O14=0,0,IF(AND($D42="F-SMRA",O14=0),0,IF(AND($D42="F-SMRB",O14=0),0,IF(AND($D42="F-SMRC",O14=0),0,IF($D42='W10'!$A$68,'W10'!D307,IF($D42='W10'!$A$69,'W10'!D307,IF($D42='W10'!$A$70,'W10'!D307,ROUND(('R10'!O14/'W10'!$D$5*'W10'!$D$9*(IF('R10'!$D42='W10'!$A$47,'W10'!D$47,IF('R10'!$D42='W10'!$A$48,'W10'!D$48,IF('R10'!$D42='W10'!$A$49,'W10'!D$49,IF('R10'!$D42='W10'!$A$50,'W10'!D$50,IF('R10'!$D42='W10'!$A$51,'W10'!D$51,IF('R10'!$D42='W10'!$A$52,'W10'!D$52,IF('R10'!$D42='W10'!$A$53,'W10'!D$53,IF('R10'!$D42='W10'!$A$54,'W10'!D$54,IF('R10'!$D42='W10'!$A$55,'W10'!D$55))))))))))),0)+ROUND(O14/'W10'!$D$5*'W10'!$D$10*(IF('R10'!$D42='W10'!$A$47,'W10'!E$47,IF('R10'!$D42='W10'!$A$48,'W10'!E$48,IF('R10'!$D42='W10'!$A$49,'W10'!E$49,IF('R10'!$D42='W10'!$A$50,'W10'!E$50,IF('R10'!$D42='W10'!$A$51,'W10'!E$51,IF('R10'!$D42='W10'!$A$52,'W10'!E$52,IF('R10'!$D42='W10'!$A$53,'W10'!E$53,IF('R10'!$D42='W10'!$A$54,'W10'!E$54,IF('R10'!$D42='W10'!$A$55,'W10'!E$55)))))))))),0))))))))</f>
        <v>0</v>
      </c>
      <c r="P42" s="187">
        <f ca="1">IF(P14=0,0,IF(AND($D42="F-SMRA",P14=0),0,IF(AND($D42="F-SMRB",P14=0),0,IF(AND($D42="F-SMRC",P14=0),0,IF($D42='W10'!$A$68,'W10'!F307,IF($D42='W10'!$A$69,'W10'!F307,IF($D42='W10'!$A$70,'W10'!F307,ROUND(('R10'!P14/'W10'!$E$5*'W10'!$E$9*(IF('R10'!$D42='W10'!$A$47,'W10'!F$47,IF('R10'!$D42='W10'!$A$48,'W10'!F$48,IF('R10'!$D42='W10'!$A$49,'W10'!F$49,IF('R10'!$D42='W10'!$A$50,'W10'!F$50,IF('R10'!$D42='W10'!$A$51,'W10'!F$51,IF('R10'!$D42='W10'!$A$52,'W10'!F$52,IF('R10'!$D42='W10'!$A$53,'W10'!F$53,IF('R10'!$D42='W10'!$A$54,'W10'!F$54,IF('R10'!$D42='W10'!$A$55,'W10'!F$55))))))))))),0)+ROUND(P14/'W10'!$E$5*'W10'!$E$10*(IF('R10'!$D42='W10'!$A$47,'W10'!G$47,IF('R10'!$D42='W10'!$A$48,'W10'!G$48,IF('R10'!$D42='W10'!$A$49,'W10'!G$49,IF('R10'!$D42='W10'!$A$50,'W10'!G$50,IF('R10'!$D42='W10'!$A$51,'W10'!G$51,IF('R10'!$D42='W10'!$A$52,'W10'!G$52,IF('R10'!$D42='W10'!$A$53,'W10'!G$53,IF('R10'!$D42='W10'!$A$54,'W10'!G$54,IF('R10'!$D42='W10'!$A$55,'W10'!G$55)))))))))),0))))))))</f>
        <v>0</v>
      </c>
      <c r="Q42" s="187">
        <f ca="1">IF(Q14=0,0,IF(AND($D42="F-SMRA",Q14=0),0,IF(AND($D42="F-SMRB",Q14=0),0,IF(AND($D42="F-SMRC",Q14=0),0,IF($D42='W10'!$A$68,'W10'!H307,IF($D42='W10'!$A$69,'W10'!H307,IF($D42='W10'!$A$70,'W10'!H307,ROUND(('R10'!Q14/'W10'!$F$5*'W10'!$F$9*(IF('R10'!$D42='W10'!$A$47,'W10'!H$47,IF('R10'!$D42='W10'!$A$48,'W10'!H$48,IF('R10'!$D42='W10'!$A$49,'W10'!H$49,IF('R10'!$D42='W10'!$A$50,'W10'!H$50,IF('R10'!$D42='W10'!$A$51,'W10'!H$51,IF('R10'!$D42='W10'!$A$52,'W10'!H$52,IF('R10'!$D42='W10'!$A$53,'W10'!H$53,IF('R10'!$D42='W10'!$A$54,'W10'!H$54,IF('R10'!$D42='W10'!$A$55,'W10'!H$55))))))))))),0)+ROUND(Q14/'W10'!$F$5*'W10'!$F$10*(IF('R10'!$D42='W10'!$A$47,'W10'!I$47,IF('R10'!$D42='W10'!$A$48,'W10'!I$48,IF('R10'!$D42='W10'!$A$49,'W10'!I$49,IF('R10'!$D42='W10'!$A$50,'W10'!I$50,IF('R10'!$D42='W10'!$A$51,'W10'!I$51,IF('R10'!$D42='W10'!$A$52,'W10'!I$52,IF('R10'!$D42='W10'!$A$53,'W10'!I$53,IF('R10'!$D42='W10'!$A$54,'W10'!I$54,IF('R10'!$D42='W10'!$A$55,'W10'!I$55)))))))))),0))))))))</f>
        <v>0</v>
      </c>
      <c r="R42" s="187">
        <f ca="1">IF(R14=0,0,IF(AND($D42="F-SMRA",R14=0),0,IF(AND($D42="F-SMRB",R14=0),0,IF(AND($D42="F-SMRC",R14=0),0,IF($D42='W10'!$A$68,'W10'!J307,IF($D42='W10'!$A$69,'W10'!J307,IF($D42='W10'!$A$70,'W10'!J307,ROUND(('R10'!R14/'W10'!$G$5*'W10'!$G$9*(IF('R10'!$D42='W10'!$A$47,'W10'!J$47,IF('R10'!$D42='W10'!$A$48,'W10'!J$48,IF('R10'!$D42='W10'!$A$49,'W10'!J$49,IF('R10'!$D42='W10'!$A$50,'W10'!J$50,IF('R10'!$D42='W10'!$A$51,'W10'!J$51,IF('R10'!$D42='W10'!$A$52,'W10'!J$52,IF('R10'!$D42='W10'!$A$53,'W10'!J$53,IF('R10'!$D42='W10'!$A$54,'W10'!J$54,IF('R10'!$D42='W10'!$A$55,'W10'!J$55))))))))))),0)+ROUND(R14/'W10'!$G$5*'W10'!$G$10*(IF('R10'!$D42='W10'!$A$47,'W10'!K$47,IF('R10'!$D42='W10'!$A$48,'W10'!K$48,IF('R10'!$D42='W10'!$A$49,'W10'!K$49,IF('R10'!$D42='W10'!$A$50,'W10'!K$50,IF('R10'!$D42='W10'!$A$51,'W10'!K$51,IF('R10'!$D42='W10'!$A$52,'W10'!K$52,IF('R10'!$D42='W10'!$A$53,'W10'!K$53,IF('R10'!$D42='W10'!$A$54,'W10'!K$54,IF('R10'!$D42='W10'!$A$55,'W10'!K$55)))))))))),0))))))))</f>
        <v>0</v>
      </c>
      <c r="S42" s="187">
        <f t="shared" ca="1" si="3"/>
        <v>0</v>
      </c>
      <c r="T42" s="248"/>
      <c r="U42" s="248"/>
      <c r="V42" s="248"/>
      <c r="W42" s="248"/>
      <c r="X42" s="248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</row>
    <row r="43" spans="1:51" x14ac:dyDescent="0.2">
      <c r="A43" s="92">
        <v>8</v>
      </c>
      <c r="B43" s="381">
        <f t="shared" si="2"/>
        <v>0</v>
      </c>
      <c r="C43" s="382"/>
      <c r="D43" s="199" t="s">
        <v>52</v>
      </c>
      <c r="E43" s="265" t="str">
        <f>IF($D43='W10'!$A$59,'W10'!B$59,IF($D43='W10'!$A$60,'W10'!B$60,IF($D43='W10'!$A$61,'W10'!B$61,IF($D43='W10'!$A$62,'W10'!B$62,IF($D43='W10'!$A$63,'W10'!B$63,IF($D43='W10'!$A$64,'W10'!B$64,IF($D43='W10'!$A$65,'W10'!B$65,IF($D43='W10'!$A$66,'W10'!B$66,IF($D43='W10'!$A$67,'W10'!B$67,IF($D43='W10'!$A$68,'W10'!B282,IF($D43='W10'!$A$69,'W10'!B282,IF($D43='W10'!$A$70,'W10'!B282,IF($D43='W10'!$A$71,"")))))))))))))</f>
        <v/>
      </c>
      <c r="F43" s="378" t="str">
        <f>IF($D43='W10'!$A$59,'W10'!C$59,IF($D43='W10'!$A$60,'W10'!C$60,IF($D43='W10'!$A$61,'W10'!C$61,IF($D43='W10'!$A$62,'W10'!C$62,IF($D43='W10'!$A$63,'W10'!C$63,IF($D43='W10'!$A$64,'W10'!C$64,IF($D43='W10'!$A$65,'W10'!C$65,IF($D43='W10'!$A$66,'W10'!C$66,IF($D43='W10'!$A$67,'W10'!C$67,IF($D43='W10'!$A$68,'W10'!D282,IF($D43='W10'!$A$69,'W10'!D282,IF($D43='W10'!$A$70,'W10'!D282,IF($D43='W10'!$A$71,"")))))))))))))</f>
        <v/>
      </c>
      <c r="G43" s="379"/>
      <c r="H43" s="366" t="str">
        <f>IF($D43='W10'!$A$59,'W10'!D$59,IF($D43='W10'!$A$60,'W10'!D$60,IF($D43='W10'!$A$61,'W10'!D$61,IF($D43='W10'!$A$62,'W10'!D$62,IF($D43='W10'!$A$63,'W10'!D$63,IF($D43='W10'!$A$64,'W10'!D$64,IF($D43='W10'!$A$65,'W10'!D$65,IF($D43='W10'!$A$66,'W10'!D$66,IF($D43='W10'!$A$67,'W10'!D$67,IF($D43='W10'!$A$68,'W10'!F282,IF($D43='W10'!$A$69,'W10'!F282,IF($D43='W10'!$A$70,'W10'!F282,IF($D43='W10'!$A$71,"")))))))))))))</f>
        <v/>
      </c>
      <c r="I43" s="367"/>
      <c r="J43" s="366" t="str">
        <f>IF($D43='W10'!$A$59,'W10'!E$59,IF($D43='W10'!$A$60,'W10'!E$60,IF($D43='W10'!$A$61,'W10'!E$61,IF($D43='W10'!$A$62,'W10'!E$62,IF($D43='W10'!$A$63,'W10'!E$63,IF($D43='W10'!$A$64,'W10'!E$64,IF($D43='W10'!$A$65,'W10'!E$65,IF($D43='W10'!$A$66,'W10'!E$66,IF($D43='W10'!$A$67,'W10'!E$67,IF($D43='W10'!$A$68,'W10'!H282,IF($D43='W10'!$A$69,'W10'!H282,IF($D43='W10'!$A$70,'W10'!H282,IF($D43='W10'!$A$71,"")))))))))))))</f>
        <v/>
      </c>
      <c r="K43" s="367"/>
      <c r="L43" s="366" t="str">
        <f>IF($D43='W10'!$A$59,'W10'!F$59,IF($D43='W10'!$A$60,'W10'!F$60,IF($D43='W10'!$A$61,'W10'!F$61,IF($D43='W10'!$A$62,'W10'!F$62,IF($D43='W10'!$A$63,'W10'!F$63,IF($D43='W10'!$A$64,'W10'!F$64,IF($D43='W10'!$A$65,'W10'!F$65,IF($D43='W10'!$A$66,'W10'!F$66,IF($D43='W10'!$A$67,'W10'!F$67,IF($D43='W10'!$A$68,'W10'!J282,IF($D43='W10'!$A$69,'W10'!J282,IF($D43='W10'!$A$70,'W10'!J282,IF($D43='W10'!$A$71,"")))))))))))))</f>
        <v/>
      </c>
      <c r="M43" s="367"/>
      <c r="N43" s="187">
        <f ca="1">IF(N15=0,0,IF(AND($D43="F-SMRA",N15=0),0,IF(AND($D43="F-SMRB",N15=0),0,IF(AND($D43="F-SMRC",N15=0),0,IF($D43='W10'!$A$68,'W10'!B308,IF($D43='W10'!$A$69,'W10'!B308,IF($D43='W10'!$A$70,'W10'!B308,ROUND(('R10'!N15/'W10'!$C$5*'W10'!$C$9*(IF('R10'!$D43='W10'!$A$47,'W10'!B$47,IF('R10'!$D43='W10'!$A$48,'W10'!B$48,IF('R10'!$D43='W10'!$A$49,'W10'!B$49,IF('R10'!$D43='W10'!$A$50,'W10'!B$50,IF('R10'!$D43='W10'!$A$51,'W10'!B$51,IF('R10'!$D43='W10'!$A$52,'W10'!B$52,IF('R10'!$D43='W10'!$A$53,'W10'!B$53,IF('R10'!$D43='W10'!$A$54,'W10'!B$54,IF('R10'!$D43='W10'!$A$55,'W10'!B$55))))))))))),0)+ROUND(N15/'W10'!$C$5*'W10'!$C$10*(IF('R10'!$D43='W10'!$A$47,'W10'!C$47,IF('R10'!$D43='W10'!$A$48,'W10'!C$48,IF('R10'!$D43='W10'!$A$49,'W10'!C$49,IF('R10'!$D43='W10'!$A$50,'W10'!C$50,IF('R10'!$D43='W10'!$A$51,'W10'!C$51,IF('R10'!$D43='W10'!$A$52,'W10'!C$52,IF('R10'!$D43='W10'!$A$53,'W10'!C$53,IF('R10'!$D43='W10'!$A$54,'W10'!C$54,IF('R10'!$D43='W10'!$A$55,'W10'!C$55)))))))))),0))))))))</f>
        <v>0</v>
      </c>
      <c r="O43" s="187">
        <f ca="1">IF(O15=0,0,IF(AND($D43="F-SMRA",O15=0),0,IF(AND($D43="F-SMRB",O15=0),0,IF(AND($D43="F-SMRC",O15=0),0,IF($D43='W10'!$A$68,'W10'!D308,IF($D43='W10'!$A$69,'W10'!D308,IF($D43='W10'!$A$70,'W10'!D308,ROUND(('R10'!O15/'W10'!$D$5*'W10'!$D$9*(IF('R10'!$D43='W10'!$A$47,'W10'!D$47,IF('R10'!$D43='W10'!$A$48,'W10'!D$48,IF('R10'!$D43='W10'!$A$49,'W10'!D$49,IF('R10'!$D43='W10'!$A$50,'W10'!D$50,IF('R10'!$D43='W10'!$A$51,'W10'!D$51,IF('R10'!$D43='W10'!$A$52,'W10'!D$52,IF('R10'!$D43='W10'!$A$53,'W10'!D$53,IF('R10'!$D43='W10'!$A$54,'W10'!D$54,IF('R10'!$D43='W10'!$A$55,'W10'!D$55))))))))))),0)+ROUND(O15/'W10'!$D$5*'W10'!$D$10*(IF('R10'!$D43='W10'!$A$47,'W10'!E$47,IF('R10'!$D43='W10'!$A$48,'W10'!E$48,IF('R10'!$D43='W10'!$A$49,'W10'!E$49,IF('R10'!$D43='W10'!$A$50,'W10'!E$50,IF('R10'!$D43='W10'!$A$51,'W10'!E$51,IF('R10'!$D43='W10'!$A$52,'W10'!E$52,IF('R10'!$D43='W10'!$A$53,'W10'!E$53,IF('R10'!$D43='W10'!$A$54,'W10'!E$54,IF('R10'!$D43='W10'!$A$55,'W10'!E$55)))))))))),0))))))))</f>
        <v>0</v>
      </c>
      <c r="P43" s="187">
        <f ca="1">IF(P15=0,0,IF(AND($D43="F-SMRA",P15=0),0,IF(AND($D43="F-SMRB",P15=0),0,IF(AND($D43="F-SMRC",P15=0),0,IF($D43='W10'!$A$68,'W10'!F308,IF($D43='W10'!$A$69,'W10'!F308,IF($D43='W10'!$A$70,'W10'!F308,ROUND(('R10'!P15/'W10'!$E$5*'W10'!$E$9*(IF('R10'!$D43='W10'!$A$47,'W10'!F$47,IF('R10'!$D43='W10'!$A$48,'W10'!F$48,IF('R10'!$D43='W10'!$A$49,'W10'!F$49,IF('R10'!$D43='W10'!$A$50,'W10'!F$50,IF('R10'!$D43='W10'!$A$51,'W10'!F$51,IF('R10'!$D43='W10'!$A$52,'W10'!F$52,IF('R10'!$D43='W10'!$A$53,'W10'!F$53,IF('R10'!$D43='W10'!$A$54,'W10'!F$54,IF('R10'!$D43='W10'!$A$55,'W10'!F$55))))))))))),0)+ROUND(P15/'W10'!$E$5*'W10'!$E$10*(IF('R10'!$D43='W10'!$A$47,'W10'!G$47,IF('R10'!$D43='W10'!$A$48,'W10'!G$48,IF('R10'!$D43='W10'!$A$49,'W10'!G$49,IF('R10'!$D43='W10'!$A$50,'W10'!G$50,IF('R10'!$D43='W10'!$A$51,'W10'!G$51,IF('R10'!$D43='W10'!$A$52,'W10'!G$52,IF('R10'!$D43='W10'!$A$53,'W10'!G$53,IF('R10'!$D43='W10'!$A$54,'W10'!G$54,IF('R10'!$D43='W10'!$A$55,'W10'!G$55)))))))))),0))))))))</f>
        <v>0</v>
      </c>
      <c r="Q43" s="187">
        <f ca="1">IF(Q15=0,0,IF(AND($D43="F-SMRA",Q15=0),0,IF(AND($D43="F-SMRB",Q15=0),0,IF(AND($D43="F-SMRC",Q15=0),0,IF($D43='W10'!$A$68,'W10'!H308,IF($D43='W10'!$A$69,'W10'!H308,IF($D43='W10'!$A$70,'W10'!H308,ROUND(('R10'!Q15/'W10'!$F$5*'W10'!$F$9*(IF('R10'!$D43='W10'!$A$47,'W10'!H$47,IF('R10'!$D43='W10'!$A$48,'W10'!H$48,IF('R10'!$D43='W10'!$A$49,'W10'!H$49,IF('R10'!$D43='W10'!$A$50,'W10'!H$50,IF('R10'!$D43='W10'!$A$51,'W10'!H$51,IF('R10'!$D43='W10'!$A$52,'W10'!H$52,IF('R10'!$D43='W10'!$A$53,'W10'!H$53,IF('R10'!$D43='W10'!$A$54,'W10'!H$54,IF('R10'!$D43='W10'!$A$55,'W10'!H$55))))))))))),0)+ROUND(Q15/'W10'!$F$5*'W10'!$F$10*(IF('R10'!$D43='W10'!$A$47,'W10'!I$47,IF('R10'!$D43='W10'!$A$48,'W10'!I$48,IF('R10'!$D43='W10'!$A$49,'W10'!I$49,IF('R10'!$D43='W10'!$A$50,'W10'!I$50,IF('R10'!$D43='W10'!$A$51,'W10'!I$51,IF('R10'!$D43='W10'!$A$52,'W10'!I$52,IF('R10'!$D43='W10'!$A$53,'W10'!I$53,IF('R10'!$D43='W10'!$A$54,'W10'!I$54,IF('R10'!$D43='W10'!$A$55,'W10'!I$55)))))))))),0))))))))</f>
        <v>0</v>
      </c>
      <c r="R43" s="187">
        <f ca="1">IF(R15=0,0,IF(AND($D43="F-SMRA",R15=0),0,IF(AND($D43="F-SMRB",R15=0),0,IF(AND($D43="F-SMRC",R15=0),0,IF($D43='W10'!$A$68,'W10'!J308,IF($D43='W10'!$A$69,'W10'!J308,IF($D43='W10'!$A$70,'W10'!J308,ROUND(('R10'!R15/'W10'!$G$5*'W10'!$G$9*(IF('R10'!$D43='W10'!$A$47,'W10'!J$47,IF('R10'!$D43='W10'!$A$48,'W10'!J$48,IF('R10'!$D43='W10'!$A$49,'W10'!J$49,IF('R10'!$D43='W10'!$A$50,'W10'!J$50,IF('R10'!$D43='W10'!$A$51,'W10'!J$51,IF('R10'!$D43='W10'!$A$52,'W10'!J$52,IF('R10'!$D43='W10'!$A$53,'W10'!J$53,IF('R10'!$D43='W10'!$A$54,'W10'!J$54,IF('R10'!$D43='W10'!$A$55,'W10'!J$55))))))))))),0)+ROUND(R15/'W10'!$G$5*'W10'!$G$10*(IF('R10'!$D43='W10'!$A$47,'W10'!K$47,IF('R10'!$D43='W10'!$A$48,'W10'!K$48,IF('R10'!$D43='W10'!$A$49,'W10'!K$49,IF('R10'!$D43='W10'!$A$50,'W10'!K$50,IF('R10'!$D43='W10'!$A$51,'W10'!K$51,IF('R10'!$D43='W10'!$A$52,'W10'!K$52,IF('R10'!$D43='W10'!$A$53,'W10'!K$53,IF('R10'!$D43='W10'!$A$54,'W10'!K$54,IF('R10'!$D43='W10'!$A$55,'W10'!K$55)))))))))),0))))))))</f>
        <v>0</v>
      </c>
      <c r="S43" s="187">
        <f t="shared" ca="1" si="3"/>
        <v>0</v>
      </c>
      <c r="T43" s="248"/>
      <c r="U43" s="248"/>
      <c r="V43" s="248"/>
      <c r="W43" s="248"/>
      <c r="X43" s="248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</row>
    <row r="44" spans="1:51" x14ac:dyDescent="0.2">
      <c r="A44" s="92">
        <v>9</v>
      </c>
      <c r="B44" s="381">
        <f t="shared" si="2"/>
        <v>0</v>
      </c>
      <c r="C44" s="382"/>
      <c r="D44" s="199" t="s">
        <v>52</v>
      </c>
      <c r="E44" s="265" t="str">
        <f>IF($D44='W10'!$A$59,'W10'!B$59,IF($D44='W10'!$A$60,'W10'!B$60,IF($D44='W10'!$A$61,'W10'!B$61,IF($D44='W10'!$A$62,'W10'!B$62,IF($D44='W10'!$A$63,'W10'!B$63,IF($D44='W10'!$A$64,'W10'!B$64,IF($D44='W10'!$A$65,'W10'!B$65,IF($D44='W10'!$A$66,'W10'!B$66,IF($D44='W10'!$A$67,'W10'!B$67,IF($D44='W10'!$A$68,'W10'!B283,IF($D44='W10'!$A$69,'W10'!B283,IF($D44='W10'!$A$70,'W10'!B283,IF($D44='W10'!$A$71,"")))))))))))))</f>
        <v/>
      </c>
      <c r="F44" s="378" t="str">
        <f>IF($D44='W10'!$A$59,'W10'!C$59,IF($D44='W10'!$A$60,'W10'!C$60,IF($D44='W10'!$A$61,'W10'!C$61,IF($D44='W10'!$A$62,'W10'!C$62,IF($D44='W10'!$A$63,'W10'!C$63,IF($D44='W10'!$A$64,'W10'!C$64,IF($D44='W10'!$A$65,'W10'!C$65,IF($D44='W10'!$A$66,'W10'!C$66,IF($D44='W10'!$A$67,'W10'!C$67,IF($D44='W10'!$A$68,'W10'!D283,IF($D44='W10'!$A$69,'W10'!D283,IF($D44='W10'!$A$70,'W10'!D283,IF($D44='W10'!$A$71,"")))))))))))))</f>
        <v/>
      </c>
      <c r="G44" s="379"/>
      <c r="H44" s="366" t="str">
        <f>IF($D44='W10'!$A$59,'W10'!D$59,IF($D44='W10'!$A$60,'W10'!D$60,IF($D44='W10'!$A$61,'W10'!D$61,IF($D44='W10'!$A$62,'W10'!D$62,IF($D44='W10'!$A$63,'W10'!D$63,IF($D44='W10'!$A$64,'W10'!D$64,IF($D44='W10'!$A$65,'W10'!D$65,IF($D44='W10'!$A$66,'W10'!D$66,IF($D44='W10'!$A$67,'W10'!D$67,IF($D44='W10'!$A$68,'W10'!F283,IF($D44='W10'!$A$69,'W10'!F283,IF($D44='W10'!$A$70,'W10'!F283,IF($D44='W10'!$A$71,"")))))))))))))</f>
        <v/>
      </c>
      <c r="I44" s="367"/>
      <c r="J44" s="366" t="str">
        <f>IF($D44='W10'!$A$59,'W10'!E$59,IF($D44='W10'!$A$60,'W10'!E$60,IF($D44='W10'!$A$61,'W10'!E$61,IF($D44='W10'!$A$62,'W10'!E$62,IF($D44='W10'!$A$63,'W10'!E$63,IF($D44='W10'!$A$64,'W10'!E$64,IF($D44='W10'!$A$65,'W10'!E$65,IF($D44='W10'!$A$66,'W10'!E$66,IF($D44='W10'!$A$67,'W10'!E$67,IF($D44='W10'!$A$68,'W10'!H283,IF($D44='W10'!$A$69,'W10'!H283,IF($D44='W10'!$A$70,'W10'!H283,IF($D44='W10'!$A$71,"")))))))))))))</f>
        <v/>
      </c>
      <c r="K44" s="367"/>
      <c r="L44" s="366" t="str">
        <f>IF($D44='W10'!$A$59,'W10'!F$59,IF($D44='W10'!$A$60,'W10'!F$60,IF($D44='W10'!$A$61,'W10'!F$61,IF($D44='W10'!$A$62,'W10'!F$62,IF($D44='W10'!$A$63,'W10'!F$63,IF($D44='W10'!$A$64,'W10'!F$64,IF($D44='W10'!$A$65,'W10'!F$65,IF($D44='W10'!$A$66,'W10'!F$66,IF($D44='W10'!$A$67,'W10'!F$67,IF($D44='W10'!$A$68,'W10'!J283,IF($D44='W10'!$A$69,'W10'!J283,IF($D44='W10'!$A$70,'W10'!J283,IF($D44='W10'!$A$71,"")))))))))))))</f>
        <v/>
      </c>
      <c r="M44" s="367"/>
      <c r="N44" s="187">
        <f ca="1">IF(N16=0,0,IF(AND($D44="F-SMRA",N16=0),0,IF(AND($D44="F-SMRB",N16=0),0,IF(AND($D44="F-SMRC",N16=0),0,IF($D44='W10'!$A$68,'W10'!B309,IF($D44='W10'!$A$69,'W10'!B309,IF($D44='W10'!$A$70,'W10'!B309,ROUND(('R10'!N16/'W10'!$C$5*'W10'!$C$9*(IF('R10'!$D44='W10'!$A$47,'W10'!B$47,IF('R10'!$D44='W10'!$A$48,'W10'!B$48,IF('R10'!$D44='W10'!$A$49,'W10'!B$49,IF('R10'!$D44='W10'!$A$50,'W10'!B$50,IF('R10'!$D44='W10'!$A$51,'W10'!B$51,IF('R10'!$D44='W10'!$A$52,'W10'!B$52,IF('R10'!$D44='W10'!$A$53,'W10'!B$53,IF('R10'!$D44='W10'!$A$54,'W10'!B$54,IF('R10'!$D44='W10'!$A$55,'W10'!B$55))))))))))),0)+ROUND(N16/'W10'!$C$5*'W10'!$C$10*(IF('R10'!$D44='W10'!$A$47,'W10'!C$47,IF('R10'!$D44='W10'!$A$48,'W10'!C$48,IF('R10'!$D44='W10'!$A$49,'W10'!C$49,IF('R10'!$D44='W10'!$A$50,'W10'!C$50,IF('R10'!$D44='W10'!$A$51,'W10'!C$51,IF('R10'!$D44='W10'!$A$52,'W10'!C$52,IF('R10'!$D44='W10'!$A$53,'W10'!C$53,IF('R10'!$D44='W10'!$A$54,'W10'!C$54,IF('R10'!$D44='W10'!$A$55,'W10'!C$55)))))))))),0))))))))</f>
        <v>0</v>
      </c>
      <c r="O44" s="187">
        <f ca="1">IF(O16=0,0,IF(AND($D44="F-SMRA",O16=0),0,IF(AND($D44="F-SMRB",O16=0),0,IF(AND($D44="F-SMRC",O16=0),0,IF($D44='W10'!$A$68,'W10'!D309,IF($D44='W10'!$A$69,'W10'!D309,IF($D44='W10'!$A$70,'W10'!D309,ROUND(('R10'!O16/'W10'!$D$5*'W10'!$D$9*(IF('R10'!$D44='W10'!$A$47,'W10'!D$47,IF('R10'!$D44='W10'!$A$48,'W10'!D$48,IF('R10'!$D44='W10'!$A$49,'W10'!D$49,IF('R10'!$D44='W10'!$A$50,'W10'!D$50,IF('R10'!$D44='W10'!$A$51,'W10'!D$51,IF('R10'!$D44='W10'!$A$52,'W10'!D$52,IF('R10'!$D44='W10'!$A$53,'W10'!D$53,IF('R10'!$D44='W10'!$A$54,'W10'!D$54,IF('R10'!$D44='W10'!$A$55,'W10'!D$55))))))))))),0)+ROUND(O16/'W10'!$D$5*'W10'!$D$10*(IF('R10'!$D44='W10'!$A$47,'W10'!E$47,IF('R10'!$D44='W10'!$A$48,'W10'!E$48,IF('R10'!$D44='W10'!$A$49,'W10'!E$49,IF('R10'!$D44='W10'!$A$50,'W10'!E$50,IF('R10'!$D44='W10'!$A$51,'W10'!E$51,IF('R10'!$D44='W10'!$A$52,'W10'!E$52,IF('R10'!$D44='W10'!$A$53,'W10'!E$53,IF('R10'!$D44='W10'!$A$54,'W10'!E$54,IF('R10'!$D44='W10'!$A$55,'W10'!E$55)))))))))),0))))))))</f>
        <v>0</v>
      </c>
      <c r="P44" s="187">
        <f ca="1">IF(P16=0,0,IF(AND($D44="F-SMRA",P16=0),0,IF(AND($D44="F-SMRB",P16=0),0,IF(AND($D44="F-SMRC",P16=0),0,IF($D44='W10'!$A$68,'W10'!F309,IF($D44='W10'!$A$69,'W10'!F309,IF($D44='W10'!$A$70,'W10'!F309,ROUND(('R10'!P16/'W10'!$E$5*'W10'!$E$9*(IF('R10'!$D44='W10'!$A$47,'W10'!F$47,IF('R10'!$D44='W10'!$A$48,'W10'!F$48,IF('R10'!$D44='W10'!$A$49,'W10'!F$49,IF('R10'!$D44='W10'!$A$50,'W10'!F$50,IF('R10'!$D44='W10'!$A$51,'W10'!F$51,IF('R10'!$D44='W10'!$A$52,'W10'!F$52,IF('R10'!$D44='W10'!$A$53,'W10'!F$53,IF('R10'!$D44='W10'!$A$54,'W10'!F$54,IF('R10'!$D44='W10'!$A$55,'W10'!F$55))))))))))),0)+ROUND(P16/'W10'!$E$5*'W10'!$E$10*(IF('R10'!$D44='W10'!$A$47,'W10'!G$47,IF('R10'!$D44='W10'!$A$48,'W10'!G$48,IF('R10'!$D44='W10'!$A$49,'W10'!G$49,IF('R10'!$D44='W10'!$A$50,'W10'!G$50,IF('R10'!$D44='W10'!$A$51,'W10'!G$51,IF('R10'!$D44='W10'!$A$52,'W10'!G$52,IF('R10'!$D44='W10'!$A$53,'W10'!G$53,IF('R10'!$D44='W10'!$A$54,'W10'!G$54,IF('R10'!$D44='W10'!$A$55,'W10'!G$55)))))))))),0))))))))</f>
        <v>0</v>
      </c>
      <c r="Q44" s="187">
        <f ca="1">IF(Q16=0,0,IF(AND($D44="F-SMRA",Q16=0),0,IF(AND($D44="F-SMRB",Q16=0),0,IF(AND($D44="F-SMRC",Q16=0),0,IF($D44='W10'!$A$68,'W10'!H309,IF($D44='W10'!$A$69,'W10'!H309,IF($D44='W10'!$A$70,'W10'!H309,ROUND(('R10'!Q16/'W10'!$F$5*'W10'!$F$9*(IF('R10'!$D44='W10'!$A$47,'W10'!H$47,IF('R10'!$D44='W10'!$A$48,'W10'!H$48,IF('R10'!$D44='W10'!$A$49,'W10'!H$49,IF('R10'!$D44='W10'!$A$50,'W10'!H$50,IF('R10'!$D44='W10'!$A$51,'W10'!H$51,IF('R10'!$D44='W10'!$A$52,'W10'!H$52,IF('R10'!$D44='W10'!$A$53,'W10'!H$53,IF('R10'!$D44='W10'!$A$54,'W10'!H$54,IF('R10'!$D44='W10'!$A$55,'W10'!H$55))))))))))),0)+ROUND(Q16/'W10'!$F$5*'W10'!$F$10*(IF('R10'!$D44='W10'!$A$47,'W10'!I$47,IF('R10'!$D44='W10'!$A$48,'W10'!I$48,IF('R10'!$D44='W10'!$A$49,'W10'!I$49,IF('R10'!$D44='W10'!$A$50,'W10'!I$50,IF('R10'!$D44='W10'!$A$51,'W10'!I$51,IF('R10'!$D44='W10'!$A$52,'W10'!I$52,IF('R10'!$D44='W10'!$A$53,'W10'!I$53,IF('R10'!$D44='W10'!$A$54,'W10'!I$54,IF('R10'!$D44='W10'!$A$55,'W10'!I$55)))))))))),0))))))))</f>
        <v>0</v>
      </c>
      <c r="R44" s="187">
        <f ca="1">IF(R16=0,0,IF(AND($D44="F-SMRA",R16=0),0,IF(AND($D44="F-SMRB",R16=0),0,IF(AND($D44="F-SMRC",R16=0),0,IF($D44='W10'!$A$68,'W10'!J309,IF($D44='W10'!$A$69,'W10'!J309,IF($D44='W10'!$A$70,'W10'!J309,ROUND(('R10'!R16/'W10'!$G$5*'W10'!$G$9*(IF('R10'!$D44='W10'!$A$47,'W10'!J$47,IF('R10'!$D44='W10'!$A$48,'W10'!J$48,IF('R10'!$D44='W10'!$A$49,'W10'!J$49,IF('R10'!$D44='W10'!$A$50,'W10'!J$50,IF('R10'!$D44='W10'!$A$51,'W10'!J$51,IF('R10'!$D44='W10'!$A$52,'W10'!J$52,IF('R10'!$D44='W10'!$A$53,'W10'!J$53,IF('R10'!$D44='W10'!$A$54,'W10'!J$54,IF('R10'!$D44='W10'!$A$55,'W10'!J$55))))))))))),0)+ROUND(R16/'W10'!$G$5*'W10'!$G$10*(IF('R10'!$D44='W10'!$A$47,'W10'!K$47,IF('R10'!$D44='W10'!$A$48,'W10'!K$48,IF('R10'!$D44='W10'!$A$49,'W10'!K$49,IF('R10'!$D44='W10'!$A$50,'W10'!K$50,IF('R10'!$D44='W10'!$A$51,'W10'!K$51,IF('R10'!$D44='W10'!$A$52,'W10'!K$52,IF('R10'!$D44='W10'!$A$53,'W10'!K$53,IF('R10'!$D44='W10'!$A$54,'W10'!K$54,IF('R10'!$D44='W10'!$A$55,'W10'!K$55)))))))))),0))))))))</f>
        <v>0</v>
      </c>
      <c r="S44" s="187">
        <f t="shared" ca="1" si="3"/>
        <v>0</v>
      </c>
      <c r="T44" s="248"/>
      <c r="U44" s="248"/>
      <c r="V44" s="248"/>
      <c r="W44" s="248"/>
      <c r="X44" s="248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x14ac:dyDescent="0.2">
      <c r="A45" s="92">
        <v>10</v>
      </c>
      <c r="B45" s="381">
        <f t="shared" si="2"/>
        <v>0</v>
      </c>
      <c r="C45" s="382"/>
      <c r="D45" s="199" t="s">
        <v>52</v>
      </c>
      <c r="E45" s="265" t="str">
        <f>IF($D45='W10'!$A$59,'W10'!B$59,IF($D45='W10'!$A$60,'W10'!B$60,IF($D45='W10'!$A$61,'W10'!B$61,IF($D45='W10'!$A$62,'W10'!B$62,IF($D45='W10'!$A$63,'W10'!B$63,IF($D45='W10'!$A$64,'W10'!B$64,IF($D45='W10'!$A$65,'W10'!B$65,IF($D45='W10'!$A$66,'W10'!B$66,IF($D45='W10'!$A$67,'W10'!B$67,IF($D45='W10'!$A$68,'W10'!B284,IF($D45='W10'!$A$69,'W10'!B284,IF($D45='W10'!$A$70,'W10'!B284,IF($D45='W10'!$A$71,"")))))))))))))</f>
        <v/>
      </c>
      <c r="F45" s="378" t="str">
        <f>IF($D45='W10'!$A$59,'W10'!C$59,IF($D45='W10'!$A$60,'W10'!C$60,IF($D45='W10'!$A$61,'W10'!C$61,IF($D45='W10'!$A$62,'W10'!C$62,IF($D45='W10'!$A$63,'W10'!C$63,IF($D45='W10'!$A$64,'W10'!C$64,IF($D45='W10'!$A$65,'W10'!C$65,IF($D45='W10'!$A$66,'W10'!C$66,IF($D45='W10'!$A$67,'W10'!C$67,IF($D45='W10'!$A$68,'W10'!D284,IF($D45='W10'!$A$69,'W10'!D284,IF($D45='W10'!$A$70,'W10'!D284,IF($D45='W10'!$A$71,"")))))))))))))</f>
        <v/>
      </c>
      <c r="G45" s="379"/>
      <c r="H45" s="366" t="str">
        <f>IF($D45='W10'!$A$59,'W10'!D$59,IF($D45='W10'!$A$60,'W10'!D$60,IF($D45='W10'!$A$61,'W10'!D$61,IF($D45='W10'!$A$62,'W10'!D$62,IF($D45='W10'!$A$63,'W10'!D$63,IF($D45='W10'!$A$64,'W10'!D$64,IF($D45='W10'!$A$65,'W10'!D$65,IF($D45='W10'!$A$66,'W10'!D$66,IF($D45='W10'!$A$67,'W10'!D$67,IF($D45='W10'!$A$68,'W10'!F284,IF($D45='W10'!$A$69,'W10'!F284,IF($D45='W10'!$A$70,'W10'!F284,IF($D45='W10'!$A$71,"")))))))))))))</f>
        <v/>
      </c>
      <c r="I45" s="367"/>
      <c r="J45" s="366" t="str">
        <f>IF($D45='W10'!$A$59,'W10'!E$59,IF($D45='W10'!$A$60,'W10'!E$60,IF($D45='W10'!$A$61,'W10'!E$61,IF($D45='W10'!$A$62,'W10'!E$62,IF($D45='W10'!$A$63,'W10'!E$63,IF($D45='W10'!$A$64,'W10'!E$64,IF($D45='W10'!$A$65,'W10'!E$65,IF($D45='W10'!$A$66,'W10'!E$66,IF($D45='W10'!$A$67,'W10'!E$67,IF($D45='W10'!$A$68,'W10'!H284,IF($D45='W10'!$A$69,'W10'!H284,IF($D45='W10'!$A$70,'W10'!H284,IF($D45='W10'!$A$71,"")))))))))))))</f>
        <v/>
      </c>
      <c r="K45" s="367"/>
      <c r="L45" s="366" t="str">
        <f>IF($D45='W10'!$A$59,'W10'!F$59,IF($D45='W10'!$A$60,'W10'!F$60,IF($D45='W10'!$A$61,'W10'!F$61,IF($D45='W10'!$A$62,'W10'!F$62,IF($D45='W10'!$A$63,'W10'!F$63,IF($D45='W10'!$A$64,'W10'!F$64,IF($D45='W10'!$A$65,'W10'!F$65,IF($D45='W10'!$A$66,'W10'!F$66,IF($D45='W10'!$A$67,'W10'!F$67,IF($D45='W10'!$A$68,'W10'!J284,IF($D45='W10'!$A$69,'W10'!J284,IF($D45='W10'!$A$70,'W10'!J284,IF($D45='W10'!$A$71,"")))))))))))))</f>
        <v/>
      </c>
      <c r="M45" s="367"/>
      <c r="N45" s="187">
        <f ca="1">IF(N17=0,0,IF(AND($D45="F-SMRA",N17=0),0,IF(AND($D45="F-SMRB",N17=0),0,IF(AND($D45="F-SMRC",N17=0),0,IF($D45='W10'!$A$68,'W10'!B310,IF($D45='W10'!$A$69,'W10'!B310,IF($D45='W10'!$A$70,'W10'!B310,ROUND(('R10'!N17/'W10'!$C$5*'W10'!$C$9*(IF('R10'!$D45='W10'!$A$47,'W10'!B$47,IF('R10'!$D45='W10'!$A$48,'W10'!B$48,IF('R10'!$D45='W10'!$A$49,'W10'!B$49,IF('R10'!$D45='W10'!$A$50,'W10'!B$50,IF('R10'!$D45='W10'!$A$51,'W10'!B$51,IF('R10'!$D45='W10'!$A$52,'W10'!B$52,IF('R10'!$D45='W10'!$A$53,'W10'!B$53,IF('R10'!$D45='W10'!$A$54,'W10'!B$54,IF('R10'!$D45='W10'!$A$55,'W10'!B$55))))))))))),0)+ROUND(N17/'W10'!$C$5*'W10'!$C$10*(IF('R10'!$D45='W10'!$A$47,'W10'!C$47,IF('R10'!$D45='W10'!$A$48,'W10'!C$48,IF('R10'!$D45='W10'!$A$49,'W10'!C$49,IF('R10'!$D45='W10'!$A$50,'W10'!C$50,IF('R10'!$D45='W10'!$A$51,'W10'!C$51,IF('R10'!$D45='W10'!$A$52,'W10'!C$52,IF('R10'!$D45='W10'!$A$53,'W10'!C$53,IF('R10'!$D45='W10'!$A$54,'W10'!C$54,IF('R10'!$D45='W10'!$A$55,'W10'!C$55)))))))))),0))))))))</f>
        <v>0</v>
      </c>
      <c r="O45" s="187">
        <f ca="1">IF(O17=0,0,IF(AND($D45="F-SMRA",O17=0),0,IF(AND($D45="F-SMRB",O17=0),0,IF(AND($D45="F-SMRC",O17=0),0,IF($D45='W10'!$A$68,'W10'!D310,IF($D45='W10'!$A$69,'W10'!D310,IF($D45='W10'!$A$70,'W10'!D310,ROUND(('R10'!O17/'W10'!$D$5*'W10'!$D$9*(IF('R10'!$D45='W10'!$A$47,'W10'!D$47,IF('R10'!$D45='W10'!$A$48,'W10'!D$48,IF('R10'!$D45='W10'!$A$49,'W10'!D$49,IF('R10'!$D45='W10'!$A$50,'W10'!D$50,IF('R10'!$D45='W10'!$A$51,'W10'!D$51,IF('R10'!$D45='W10'!$A$52,'W10'!D$52,IF('R10'!$D45='W10'!$A$53,'W10'!D$53,IF('R10'!$D45='W10'!$A$54,'W10'!D$54,IF('R10'!$D45='W10'!$A$55,'W10'!D$55))))))))))),0)+ROUND(O17/'W10'!$D$5*'W10'!$D$10*(IF('R10'!$D45='W10'!$A$47,'W10'!E$47,IF('R10'!$D45='W10'!$A$48,'W10'!E$48,IF('R10'!$D45='W10'!$A$49,'W10'!E$49,IF('R10'!$D45='W10'!$A$50,'W10'!E$50,IF('R10'!$D45='W10'!$A$51,'W10'!E$51,IF('R10'!$D45='W10'!$A$52,'W10'!E$52,IF('R10'!$D45='W10'!$A$53,'W10'!E$53,IF('R10'!$D45='W10'!$A$54,'W10'!E$54,IF('R10'!$D45='W10'!$A$55,'W10'!E$55)))))))))),0))))))))</f>
        <v>0</v>
      </c>
      <c r="P45" s="187">
        <f ca="1">IF(P17=0,0,IF(AND($D45="F-SMRA",P17=0),0,IF(AND($D45="F-SMRB",P17=0),0,IF(AND($D45="F-SMRC",P17=0),0,IF($D45='W10'!$A$68,'W10'!F310,IF($D45='W10'!$A$69,'W10'!F310,IF($D45='W10'!$A$70,'W10'!F310,ROUND(('R10'!P17/'W10'!$E$5*'W10'!$E$9*(IF('R10'!$D45='W10'!$A$47,'W10'!F$47,IF('R10'!$D45='W10'!$A$48,'W10'!F$48,IF('R10'!$D45='W10'!$A$49,'W10'!F$49,IF('R10'!$D45='W10'!$A$50,'W10'!F$50,IF('R10'!$D45='W10'!$A$51,'W10'!F$51,IF('R10'!$D45='W10'!$A$52,'W10'!F$52,IF('R10'!$D45='W10'!$A$53,'W10'!F$53,IF('R10'!$D45='W10'!$A$54,'W10'!F$54,IF('R10'!$D45='W10'!$A$55,'W10'!F$55))))))))))),0)+ROUND(P17/'W10'!$E$5*'W10'!$E$10*(IF('R10'!$D45='W10'!$A$47,'W10'!G$47,IF('R10'!$D45='W10'!$A$48,'W10'!G$48,IF('R10'!$D45='W10'!$A$49,'W10'!G$49,IF('R10'!$D45='W10'!$A$50,'W10'!G$50,IF('R10'!$D45='W10'!$A$51,'W10'!G$51,IF('R10'!$D45='W10'!$A$52,'W10'!G$52,IF('R10'!$D45='W10'!$A$53,'W10'!G$53,IF('R10'!$D45='W10'!$A$54,'W10'!G$54,IF('R10'!$D45='W10'!$A$55,'W10'!G$55)))))))))),0))))))))</f>
        <v>0</v>
      </c>
      <c r="Q45" s="187">
        <f ca="1">IF(Q17=0,0,IF(AND($D45="F-SMRA",Q17=0),0,IF(AND($D45="F-SMRB",Q17=0),0,IF(AND($D45="F-SMRC",Q17=0),0,IF($D45='W10'!$A$68,'W10'!H310,IF($D45='W10'!$A$69,'W10'!H310,IF($D45='W10'!$A$70,'W10'!H310,ROUND(('R10'!Q17/'W10'!$F$5*'W10'!$F$9*(IF('R10'!$D45='W10'!$A$47,'W10'!H$47,IF('R10'!$D45='W10'!$A$48,'W10'!H$48,IF('R10'!$D45='W10'!$A$49,'W10'!H$49,IF('R10'!$D45='W10'!$A$50,'W10'!H$50,IF('R10'!$D45='W10'!$A$51,'W10'!H$51,IF('R10'!$D45='W10'!$A$52,'W10'!H$52,IF('R10'!$D45='W10'!$A$53,'W10'!H$53,IF('R10'!$D45='W10'!$A$54,'W10'!H$54,IF('R10'!$D45='W10'!$A$55,'W10'!H$55))))))))))),0)+ROUND(Q17/'W10'!$F$5*'W10'!$F$10*(IF('R10'!$D45='W10'!$A$47,'W10'!I$47,IF('R10'!$D45='W10'!$A$48,'W10'!I$48,IF('R10'!$D45='W10'!$A$49,'W10'!I$49,IF('R10'!$D45='W10'!$A$50,'W10'!I$50,IF('R10'!$D45='W10'!$A$51,'W10'!I$51,IF('R10'!$D45='W10'!$A$52,'W10'!I$52,IF('R10'!$D45='W10'!$A$53,'W10'!I$53,IF('R10'!$D45='W10'!$A$54,'W10'!I$54,IF('R10'!$D45='W10'!$A$55,'W10'!I$55)))))))))),0))))))))</f>
        <v>0</v>
      </c>
      <c r="R45" s="187">
        <f ca="1">IF(R17=0,0,IF(AND($D45="F-SMRA",R17=0),0,IF(AND($D45="F-SMRB",R17=0),0,IF(AND($D45="F-SMRC",R17=0),0,IF($D45='W10'!$A$68,'W10'!J310,IF($D45='W10'!$A$69,'W10'!J310,IF($D45='W10'!$A$70,'W10'!J310,ROUND(('R10'!R17/'W10'!$G$5*'W10'!$G$9*(IF('R10'!$D45='W10'!$A$47,'W10'!J$47,IF('R10'!$D45='W10'!$A$48,'W10'!J$48,IF('R10'!$D45='W10'!$A$49,'W10'!J$49,IF('R10'!$D45='W10'!$A$50,'W10'!J$50,IF('R10'!$D45='W10'!$A$51,'W10'!J$51,IF('R10'!$D45='W10'!$A$52,'W10'!J$52,IF('R10'!$D45='W10'!$A$53,'W10'!J$53,IF('R10'!$D45='W10'!$A$54,'W10'!J$54,IF('R10'!$D45='W10'!$A$55,'W10'!J$55))))))))))),0)+ROUND(R17/'W10'!$G$5*'W10'!$G$10*(IF('R10'!$D45='W10'!$A$47,'W10'!K$47,IF('R10'!$D45='W10'!$A$48,'W10'!K$48,IF('R10'!$D45='W10'!$A$49,'W10'!K$49,IF('R10'!$D45='W10'!$A$50,'W10'!K$50,IF('R10'!$D45='W10'!$A$51,'W10'!K$51,IF('R10'!$D45='W10'!$A$52,'W10'!K$52,IF('R10'!$D45='W10'!$A$53,'W10'!K$53,IF('R10'!$D45='W10'!$A$54,'W10'!K$54,IF('R10'!$D45='W10'!$A$55,'W10'!K$55)))))))))),0))))))))</f>
        <v>0</v>
      </c>
      <c r="S45" s="187">
        <f t="shared" ca="1" si="3"/>
        <v>0</v>
      </c>
      <c r="T45" s="248"/>
      <c r="U45" s="248"/>
      <c r="V45" s="248"/>
      <c r="W45" s="248"/>
      <c r="X45" s="248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</row>
    <row r="46" spans="1:51" x14ac:dyDescent="0.2">
      <c r="A46" s="92">
        <v>11</v>
      </c>
      <c r="B46" s="381">
        <f t="shared" si="2"/>
        <v>0</v>
      </c>
      <c r="C46" s="382"/>
      <c r="D46" s="199" t="s">
        <v>52</v>
      </c>
      <c r="E46" s="265" t="str">
        <f>IF($D46='W10'!$A$59,'W10'!B$59,IF($D46='W10'!$A$60,'W10'!B$60,IF($D46='W10'!$A$61,'W10'!B$61,IF($D46='W10'!$A$62,'W10'!B$62,IF($D46='W10'!$A$63,'W10'!B$63,IF($D46='W10'!$A$64,'W10'!B$64,IF($D46='W10'!$A$65,'W10'!B$65,IF($D46='W10'!$A$66,'W10'!B$66,IF($D46='W10'!$A$67,'W10'!B$67,IF($D46='W10'!$A$68,'W10'!B285,IF($D46='W10'!$A$69,'W10'!B285,IF($D46='W10'!$A$70,'W10'!B285,IF($D46='W10'!$A$71,"")))))))))))))</f>
        <v/>
      </c>
      <c r="F46" s="378" t="str">
        <f>IF($D46='W10'!$A$59,'W10'!C$59,IF($D46='W10'!$A$60,'W10'!C$60,IF($D46='W10'!$A$61,'W10'!C$61,IF($D46='W10'!$A$62,'W10'!C$62,IF($D46='W10'!$A$63,'W10'!C$63,IF($D46='W10'!$A$64,'W10'!C$64,IF($D46='W10'!$A$65,'W10'!C$65,IF($D46='W10'!$A$66,'W10'!C$66,IF($D46='W10'!$A$67,'W10'!C$67,IF($D46='W10'!$A$68,'W10'!D285,IF($D46='W10'!$A$69,'W10'!D285,IF($D46='W10'!$A$70,'W10'!D285,IF($D46='W10'!$A$71,"")))))))))))))</f>
        <v/>
      </c>
      <c r="G46" s="379"/>
      <c r="H46" s="366" t="str">
        <f>IF($D46='W10'!$A$59,'W10'!D$59,IF($D46='W10'!$A$60,'W10'!D$60,IF($D46='W10'!$A$61,'W10'!D$61,IF($D46='W10'!$A$62,'W10'!D$62,IF($D46='W10'!$A$63,'W10'!D$63,IF($D46='W10'!$A$64,'W10'!D$64,IF($D46='W10'!$A$65,'W10'!D$65,IF($D46='W10'!$A$66,'W10'!D$66,IF($D46='W10'!$A$67,'W10'!D$67,IF($D46='W10'!$A$68,'W10'!F285,IF($D46='W10'!$A$69,'W10'!F285,IF($D46='W10'!$A$70,'W10'!F285,IF($D46='W10'!$A$71,"")))))))))))))</f>
        <v/>
      </c>
      <c r="I46" s="367"/>
      <c r="J46" s="366" t="str">
        <f>IF($D46='W10'!$A$59,'W10'!E$59,IF($D46='W10'!$A$60,'W10'!E$60,IF($D46='W10'!$A$61,'W10'!E$61,IF($D46='W10'!$A$62,'W10'!E$62,IF($D46='W10'!$A$63,'W10'!E$63,IF($D46='W10'!$A$64,'W10'!E$64,IF($D46='W10'!$A$65,'W10'!E$65,IF($D46='W10'!$A$66,'W10'!E$66,IF($D46='W10'!$A$67,'W10'!E$67,IF($D46='W10'!$A$68,'W10'!H285,IF($D46='W10'!$A$69,'W10'!H285,IF($D46='W10'!$A$70,'W10'!H285,IF($D46='W10'!$A$71,"")))))))))))))</f>
        <v/>
      </c>
      <c r="K46" s="367"/>
      <c r="L46" s="366" t="str">
        <f>IF($D46='W10'!$A$59,'W10'!F$59,IF($D46='W10'!$A$60,'W10'!F$60,IF($D46='W10'!$A$61,'W10'!F$61,IF($D46='W10'!$A$62,'W10'!F$62,IF($D46='W10'!$A$63,'W10'!F$63,IF($D46='W10'!$A$64,'W10'!F$64,IF($D46='W10'!$A$65,'W10'!F$65,IF($D46='W10'!$A$66,'W10'!F$66,IF($D46='W10'!$A$67,'W10'!F$67,IF($D46='W10'!$A$68,'W10'!J285,IF($D46='W10'!$A$69,'W10'!J285,IF($D46='W10'!$A$70,'W10'!J285,IF($D46='W10'!$A$71,"")))))))))))))</f>
        <v/>
      </c>
      <c r="M46" s="367"/>
      <c r="N46" s="200">
        <f ca="1">IF(N18=0,0,IF(AND($D46="F-SMRA",N18=0),0,IF(AND($D46="F-SMRB",N18=0),0,IF(AND($D46="F-SMRC",N18=0),0,IF($D46='W10'!$A$68,'W10'!B311,IF($D46='W10'!$A$69,'W10'!B311,IF($D46='W10'!$A$70,'W10'!B311,ROUND(('R10'!N18/'W10'!$C$5*'W10'!$C$9*(IF('R10'!$D46='W10'!$A$47,'W10'!B$47,IF('R10'!$D46='W10'!$A$48,'W10'!B$48,IF('R10'!$D46='W10'!$A$49,'W10'!B$49,IF('R10'!$D46='W10'!$A$50,'W10'!B$50,IF('R10'!$D46='W10'!$A$51,'W10'!B$51,IF('R10'!$D46='W10'!$A$52,'W10'!B$52,IF('R10'!$D46='W10'!$A$53,'W10'!B$53,IF('R10'!$D46='W10'!$A$54,'W10'!B$54,IF('R10'!$D46='W10'!$A$55,'W10'!B$55))))))))))),0)+ROUND(N18/'W10'!$C$5*'W10'!$C$10*(IF('R10'!$D46='W10'!$A$47,'W10'!C$47,IF('R10'!$D46='W10'!$A$48,'W10'!C$48,IF('R10'!$D46='W10'!$A$49,'W10'!C$49,IF('R10'!$D46='W10'!$A$50,'W10'!C$50,IF('R10'!$D46='W10'!$A$51,'W10'!C$51,IF('R10'!$D46='W10'!$A$52,'W10'!C$52,IF('R10'!$D46='W10'!$A$53,'W10'!C$53,IF('R10'!$D46='W10'!$A$54,'W10'!C$54,IF('R10'!$D46='W10'!$A$55,'W10'!C$55)))))))))),0))))))))</f>
        <v>0</v>
      </c>
      <c r="O46" s="187">
        <f ca="1">IF(O18=0,0,IF(AND($D46="F-SMRA",O18=0),0,IF(AND($D46="F-SMRB",O18=0),0,IF(AND($D46="F-SMRC",O18=0),0,IF($D46='W10'!$A$68,'W10'!D311,IF($D46='W10'!$A$69,'W10'!D311,IF($D46='W10'!$A$70,'W10'!D311,ROUND(('R10'!O18/'W10'!$D$5*'W10'!$D$9*(IF('R10'!$D46='W10'!$A$47,'W10'!D$47,IF('R10'!$D46='W10'!$A$48,'W10'!D$48,IF('R10'!$D46='W10'!$A$49,'W10'!D$49,IF('R10'!$D46='W10'!$A$50,'W10'!D$50,IF('R10'!$D46='W10'!$A$51,'W10'!D$51,IF('R10'!$D46='W10'!$A$52,'W10'!D$52,IF('R10'!$D46='W10'!$A$53,'W10'!D$53,IF('R10'!$D46='W10'!$A$54,'W10'!D$54,IF('R10'!$D46='W10'!$A$55,'W10'!D$55))))))))))),0)+ROUND(O18/'W10'!$D$5*'W10'!$D$10*(IF('R10'!$D46='W10'!$A$47,'W10'!E$47,IF('R10'!$D46='W10'!$A$48,'W10'!E$48,IF('R10'!$D46='W10'!$A$49,'W10'!E$49,IF('R10'!$D46='W10'!$A$50,'W10'!E$50,IF('R10'!$D46='W10'!$A$51,'W10'!E$51,IF('R10'!$D46='W10'!$A$52,'W10'!E$52,IF('R10'!$D46='W10'!$A$53,'W10'!E$53,IF('R10'!$D46='W10'!$A$54,'W10'!E$54,IF('R10'!$D46='W10'!$A$55,'W10'!E$55)))))))))),0))))))))</f>
        <v>0</v>
      </c>
      <c r="P46" s="187">
        <f ca="1">IF(P18=0,0,IF(AND($D46="F-SMRA",P18=0),0,IF(AND($D46="F-SMRB",P18=0),0,IF(AND($D46="F-SMRC",P18=0),0,IF($D46='W10'!$A$68,'W10'!F311,IF($D46='W10'!$A$69,'W10'!F311,IF($D46='W10'!$A$70,'W10'!F311,ROUND(('R10'!P18/'W10'!$E$5*'W10'!$E$9*(IF('R10'!$D46='W10'!$A$47,'W10'!F$47,IF('R10'!$D46='W10'!$A$48,'W10'!F$48,IF('R10'!$D46='W10'!$A$49,'W10'!F$49,IF('R10'!$D46='W10'!$A$50,'W10'!F$50,IF('R10'!$D46='W10'!$A$51,'W10'!F$51,IF('R10'!$D46='W10'!$A$52,'W10'!F$52,IF('R10'!$D46='W10'!$A$53,'W10'!F$53,IF('R10'!$D46='W10'!$A$54,'W10'!F$54,IF('R10'!$D46='W10'!$A$55,'W10'!F$55))))))))))),0)+ROUND(P18/'W10'!$E$5*'W10'!$E$10*(IF('R10'!$D46='W10'!$A$47,'W10'!G$47,IF('R10'!$D46='W10'!$A$48,'W10'!G$48,IF('R10'!$D46='W10'!$A$49,'W10'!G$49,IF('R10'!$D46='W10'!$A$50,'W10'!G$50,IF('R10'!$D46='W10'!$A$51,'W10'!G$51,IF('R10'!$D46='W10'!$A$52,'W10'!G$52,IF('R10'!$D46='W10'!$A$53,'W10'!G$53,IF('R10'!$D46='W10'!$A$54,'W10'!G$54,IF('R10'!$D46='W10'!$A$55,'W10'!G$55)))))))))),0))))))))</f>
        <v>0</v>
      </c>
      <c r="Q46" s="187">
        <f ca="1">IF(Q18=0,0,IF(AND($D46="F-SMRA",Q18=0),0,IF(AND($D46="F-SMRB",Q18=0),0,IF(AND($D46="F-SMRC",Q18=0),0,IF($D46='W10'!$A$68,'W10'!H311,IF($D46='W10'!$A$69,'W10'!H311,IF($D46='W10'!$A$70,'W10'!H311,ROUND(('R10'!Q18/'W10'!$F$5*'W10'!$F$9*(IF('R10'!$D46='W10'!$A$47,'W10'!H$47,IF('R10'!$D46='W10'!$A$48,'W10'!H$48,IF('R10'!$D46='W10'!$A$49,'W10'!H$49,IF('R10'!$D46='W10'!$A$50,'W10'!H$50,IF('R10'!$D46='W10'!$A$51,'W10'!H$51,IF('R10'!$D46='W10'!$A$52,'W10'!H$52,IF('R10'!$D46='W10'!$A$53,'W10'!H$53,IF('R10'!$D46='W10'!$A$54,'W10'!H$54,IF('R10'!$D46='W10'!$A$55,'W10'!H$55))))))))))),0)+ROUND(Q18/'W10'!$F$5*'W10'!$F$10*(IF('R10'!$D46='W10'!$A$47,'W10'!I$47,IF('R10'!$D46='W10'!$A$48,'W10'!I$48,IF('R10'!$D46='W10'!$A$49,'W10'!I$49,IF('R10'!$D46='W10'!$A$50,'W10'!I$50,IF('R10'!$D46='W10'!$A$51,'W10'!I$51,IF('R10'!$D46='W10'!$A$52,'W10'!I$52,IF('R10'!$D46='W10'!$A$53,'W10'!I$53,IF('R10'!$D46='W10'!$A$54,'W10'!I$54,IF('R10'!$D46='W10'!$A$55,'W10'!I$55)))))))))),0))))))))</f>
        <v>0</v>
      </c>
      <c r="R46" s="187">
        <f ca="1">IF(R18=0,0,IF(AND($D46="F-SMRA",R18=0),0,IF(AND($D46="F-SMRB",R18=0),0,IF(AND($D46="F-SMRC",R18=0),0,IF($D46='W10'!$A$68,'W10'!J311,IF($D46='W10'!$A$69,'W10'!J311,IF($D46='W10'!$A$70,'W10'!J311,ROUND(('R10'!R18/'W10'!$G$5*'W10'!$G$9*(IF('R10'!$D46='W10'!$A$47,'W10'!J$47,IF('R10'!$D46='W10'!$A$48,'W10'!J$48,IF('R10'!$D46='W10'!$A$49,'W10'!J$49,IF('R10'!$D46='W10'!$A$50,'W10'!J$50,IF('R10'!$D46='W10'!$A$51,'W10'!J$51,IF('R10'!$D46='W10'!$A$52,'W10'!J$52,IF('R10'!$D46='W10'!$A$53,'W10'!J$53,IF('R10'!$D46='W10'!$A$54,'W10'!J$54,IF('R10'!$D46='W10'!$A$55,'W10'!J$55))))))))))),0)+ROUND(R18/'W10'!$G$5*'W10'!$G$10*(IF('R10'!$D46='W10'!$A$47,'W10'!K$47,IF('R10'!$D46='W10'!$A$48,'W10'!K$48,IF('R10'!$D46='W10'!$A$49,'W10'!K$49,IF('R10'!$D46='W10'!$A$50,'W10'!K$50,IF('R10'!$D46='W10'!$A$51,'W10'!K$51,IF('R10'!$D46='W10'!$A$52,'W10'!K$52,IF('R10'!$D46='W10'!$A$53,'W10'!K$53,IF('R10'!$D46='W10'!$A$54,'W10'!K$54,IF('R10'!$D46='W10'!$A$55,'W10'!K$55)))))))))),0))))))))</f>
        <v>0</v>
      </c>
      <c r="S46" s="187">
        <f t="shared" ca="1" si="3"/>
        <v>0</v>
      </c>
      <c r="T46" s="248"/>
      <c r="U46" s="248"/>
      <c r="V46" s="248"/>
      <c r="W46" s="248"/>
      <c r="X46" s="248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</row>
    <row r="47" spans="1:51" x14ac:dyDescent="0.2">
      <c r="A47" s="92">
        <v>12</v>
      </c>
      <c r="B47" s="381">
        <f t="shared" si="2"/>
        <v>0</v>
      </c>
      <c r="C47" s="382"/>
      <c r="D47" s="199" t="s">
        <v>52</v>
      </c>
      <c r="E47" s="265" t="str">
        <f>IF($D47='W10'!$A$59,'W10'!B$59,IF($D47='W10'!$A$60,'W10'!B$60,IF($D47='W10'!$A$61,'W10'!B$61,IF($D47='W10'!$A$62,'W10'!B$62,IF($D47='W10'!$A$63,'W10'!B$63,IF($D47='W10'!$A$64,'W10'!B$64,IF($D47='W10'!$A$65,'W10'!B$65,IF($D47='W10'!$A$66,'W10'!B$66,IF($D47='W10'!$A$67,'W10'!B$67,IF($D47='W10'!$A$68,'W10'!B286,IF($D47='W10'!$A$69,'W10'!B286,IF($D47='W10'!$A$70,'W10'!B286,IF($D47='W10'!$A$71,"")))))))))))))</f>
        <v/>
      </c>
      <c r="F47" s="378" t="str">
        <f>IF($D47='W10'!$A$59,'W10'!C$59,IF($D47='W10'!$A$60,'W10'!C$60,IF($D47='W10'!$A$61,'W10'!C$61,IF($D47='W10'!$A$62,'W10'!C$62,IF($D47='W10'!$A$63,'W10'!C$63,IF($D47='W10'!$A$64,'W10'!C$64,IF($D47='W10'!$A$65,'W10'!C$65,IF($D47='W10'!$A$66,'W10'!C$66,IF($D47='W10'!$A$67,'W10'!C$67,IF($D47='W10'!$A$68,'W10'!D286,IF($D47='W10'!$A$69,'W10'!D286,IF($D47='W10'!$A$70,'W10'!D286,IF($D47='W10'!$A$71,"")))))))))))))</f>
        <v/>
      </c>
      <c r="G47" s="379"/>
      <c r="H47" s="366" t="str">
        <f>IF($D47='W10'!$A$59,'W10'!D$59,IF($D47='W10'!$A$60,'W10'!D$60,IF($D47='W10'!$A$61,'W10'!D$61,IF($D47='W10'!$A$62,'W10'!D$62,IF($D47='W10'!$A$63,'W10'!D$63,IF($D47='W10'!$A$64,'W10'!D$64,IF($D47='W10'!$A$65,'W10'!D$65,IF($D47='W10'!$A$66,'W10'!D$66,IF($D47='W10'!$A$67,'W10'!D$67,IF($D47='W10'!$A$68,'W10'!F286,IF($D47='W10'!$A$69,'W10'!F286,IF($D47='W10'!$A$70,'W10'!F286,IF($D47='W10'!$A$71,"")))))))))))))</f>
        <v/>
      </c>
      <c r="I47" s="367"/>
      <c r="J47" s="366" t="str">
        <f>IF($D47='W10'!$A$59,'W10'!E$59,IF($D47='W10'!$A$60,'W10'!E$60,IF($D47='W10'!$A$61,'W10'!E$61,IF($D47='W10'!$A$62,'W10'!E$62,IF($D47='W10'!$A$63,'W10'!E$63,IF($D47='W10'!$A$64,'W10'!E$64,IF($D47='W10'!$A$65,'W10'!E$65,IF($D47='W10'!$A$66,'W10'!E$66,IF($D47='W10'!$A$67,'W10'!E$67,IF($D47='W10'!$A$68,'W10'!H286,IF($D47='W10'!$A$69,'W10'!H286,IF($D47='W10'!$A$70,'W10'!H286,IF($D47='W10'!$A$71,"")))))))))))))</f>
        <v/>
      </c>
      <c r="K47" s="367"/>
      <c r="L47" s="366" t="str">
        <f>IF($D47='W10'!$A$59,'W10'!F$59,IF($D47='W10'!$A$60,'W10'!F$60,IF($D47='W10'!$A$61,'W10'!F$61,IF($D47='W10'!$A$62,'W10'!F$62,IF($D47='W10'!$A$63,'W10'!F$63,IF($D47='W10'!$A$64,'W10'!F$64,IF($D47='W10'!$A$65,'W10'!F$65,IF($D47='W10'!$A$66,'W10'!F$66,IF($D47='W10'!$A$67,'W10'!F$67,IF($D47='W10'!$A$68,'W10'!J286,IF($D47='W10'!$A$69,'W10'!J286,IF($D47='W10'!$A$70,'W10'!J286,IF($D47='W10'!$A$71,"")))))))))))))</f>
        <v/>
      </c>
      <c r="M47" s="367"/>
      <c r="N47" s="187">
        <f ca="1">IF(N19=0,0,IF(AND($D47="F-SMRA",N19=0),0,IF(AND($D47="F-SMRB",N19=0),0,IF(AND($D47="F-SMRC",N19=0),0,IF($D47='W10'!$A$68,'W10'!B312,IF($D47='W10'!$A$69,'W10'!B312,IF($D47='W10'!$A$70,'W10'!B312,ROUND(('R10'!N19/'W10'!$C$5*'W10'!$C$9*(IF('R10'!$D47='W10'!$A$47,'W10'!B$47,IF('R10'!$D47='W10'!$A$48,'W10'!B$48,IF('R10'!$D47='W10'!$A$49,'W10'!B$49,IF('R10'!$D47='W10'!$A$50,'W10'!B$50,IF('R10'!$D47='W10'!$A$51,'W10'!B$51,IF('R10'!$D47='W10'!$A$52,'W10'!B$52,IF('R10'!$D47='W10'!$A$53,'W10'!B$53,IF('R10'!$D47='W10'!$A$54,'W10'!B$54,IF('R10'!$D47='W10'!$A$55,'W10'!B$55))))))))))),0)+ROUND(N19/'W10'!$C$5*'W10'!$C$10*(IF('R10'!$D47='W10'!$A$47,'W10'!C$47,IF('R10'!$D47='W10'!$A$48,'W10'!C$48,IF('R10'!$D47='W10'!$A$49,'W10'!C$49,IF('R10'!$D47='W10'!$A$50,'W10'!C$50,IF('R10'!$D47='W10'!$A$51,'W10'!C$51,IF('R10'!$D47='W10'!$A$52,'W10'!C$52,IF('R10'!$D47='W10'!$A$53,'W10'!C$53,IF('R10'!$D47='W10'!$A$54,'W10'!C$54,IF('R10'!$D47='W10'!$A$55,'W10'!C$55)))))))))),0))))))))</f>
        <v>0</v>
      </c>
      <c r="O47" s="187">
        <f ca="1">IF(O19=0,0,IF(AND($D47="F-SMRA",O19=0),0,IF(AND($D47="F-SMRB",O19=0),0,IF(AND($D47="F-SMRC",O19=0),0,IF($D47='W10'!$A$68,'W10'!D312,IF($D47='W10'!$A$69,'W10'!D312,IF($D47='W10'!$A$70,'W10'!D312,ROUND(('R10'!O19/'W10'!$D$5*'W10'!$D$9*(IF('R10'!$D47='W10'!$A$47,'W10'!D$47,IF('R10'!$D47='W10'!$A$48,'W10'!D$48,IF('R10'!$D47='W10'!$A$49,'W10'!D$49,IF('R10'!$D47='W10'!$A$50,'W10'!D$50,IF('R10'!$D47='W10'!$A$51,'W10'!D$51,IF('R10'!$D47='W10'!$A$52,'W10'!D$52,IF('R10'!$D47='W10'!$A$53,'W10'!D$53,IF('R10'!$D47='W10'!$A$54,'W10'!D$54,IF('R10'!$D47='W10'!$A$55,'W10'!D$55))))))))))),0)+ROUND(O19/'W10'!$D$5*'W10'!$D$10*(IF('R10'!$D47='W10'!$A$47,'W10'!E$47,IF('R10'!$D47='W10'!$A$48,'W10'!E$48,IF('R10'!$D47='W10'!$A$49,'W10'!E$49,IF('R10'!$D47='W10'!$A$50,'W10'!E$50,IF('R10'!$D47='W10'!$A$51,'W10'!E$51,IF('R10'!$D47='W10'!$A$52,'W10'!E$52,IF('R10'!$D47='W10'!$A$53,'W10'!E$53,IF('R10'!$D47='W10'!$A$54,'W10'!E$54,IF('R10'!$D47='W10'!$A$55,'W10'!E$55)))))))))),0))))))))</f>
        <v>0</v>
      </c>
      <c r="P47" s="187">
        <f ca="1">IF(P19=0,0,IF(AND($D47="F-SMRA",P19=0),0,IF(AND($D47="F-SMRB",P19=0),0,IF(AND($D47="F-SMRC",P19=0),0,IF($D47='W10'!$A$68,'W10'!F312,IF($D47='W10'!$A$69,'W10'!F312,IF($D47='W10'!$A$70,'W10'!F312,ROUND(('R10'!P19/'W10'!$E$5*'W10'!$E$9*(IF('R10'!$D47='W10'!$A$47,'W10'!F$47,IF('R10'!$D47='W10'!$A$48,'W10'!F$48,IF('R10'!$D47='W10'!$A$49,'W10'!F$49,IF('R10'!$D47='W10'!$A$50,'W10'!F$50,IF('R10'!$D47='W10'!$A$51,'W10'!F$51,IF('R10'!$D47='W10'!$A$52,'W10'!F$52,IF('R10'!$D47='W10'!$A$53,'W10'!F$53,IF('R10'!$D47='W10'!$A$54,'W10'!F$54,IF('R10'!$D47='W10'!$A$55,'W10'!F$55))))))))))),0)+ROUND(P19/'W10'!$E$5*'W10'!$E$10*(IF('R10'!$D47='W10'!$A$47,'W10'!G$47,IF('R10'!$D47='W10'!$A$48,'W10'!G$48,IF('R10'!$D47='W10'!$A$49,'W10'!G$49,IF('R10'!$D47='W10'!$A$50,'W10'!G$50,IF('R10'!$D47='W10'!$A$51,'W10'!G$51,IF('R10'!$D47='W10'!$A$52,'W10'!G$52,IF('R10'!$D47='W10'!$A$53,'W10'!G$53,IF('R10'!$D47='W10'!$A$54,'W10'!G$54,IF('R10'!$D47='W10'!$A$55,'W10'!G$55)))))))))),0))))))))</f>
        <v>0</v>
      </c>
      <c r="Q47" s="187">
        <f ca="1">IF(Q19=0,0,IF(AND($D47="F-SMRA",Q19=0),0,IF(AND($D47="F-SMRB",Q19=0),0,IF(AND($D47="F-SMRC",Q19=0),0,IF($D47='W10'!$A$68,'W10'!H312,IF($D47='W10'!$A$69,'W10'!H312,IF($D47='W10'!$A$70,'W10'!H312,ROUND(('R10'!Q19/'W10'!$F$5*'W10'!$F$9*(IF('R10'!$D47='W10'!$A$47,'W10'!H$47,IF('R10'!$D47='W10'!$A$48,'W10'!H$48,IF('R10'!$D47='W10'!$A$49,'W10'!H$49,IF('R10'!$D47='W10'!$A$50,'W10'!H$50,IF('R10'!$D47='W10'!$A$51,'W10'!H$51,IF('R10'!$D47='W10'!$A$52,'W10'!H$52,IF('R10'!$D47='W10'!$A$53,'W10'!H$53,IF('R10'!$D47='W10'!$A$54,'W10'!H$54,IF('R10'!$D47='W10'!$A$55,'W10'!H$55))))))))))),0)+ROUND(Q19/'W10'!$F$5*'W10'!$F$10*(IF('R10'!$D47='W10'!$A$47,'W10'!I$47,IF('R10'!$D47='W10'!$A$48,'W10'!I$48,IF('R10'!$D47='W10'!$A$49,'W10'!I$49,IF('R10'!$D47='W10'!$A$50,'W10'!I$50,IF('R10'!$D47='W10'!$A$51,'W10'!I$51,IF('R10'!$D47='W10'!$A$52,'W10'!I$52,IF('R10'!$D47='W10'!$A$53,'W10'!I$53,IF('R10'!$D47='W10'!$A$54,'W10'!I$54,IF('R10'!$D47='W10'!$A$55,'W10'!I$55)))))))))),0))))))))</f>
        <v>0</v>
      </c>
      <c r="R47" s="187">
        <f ca="1">IF(R19=0,0,IF(AND($D47="F-SMRA",R19=0),0,IF(AND($D47="F-SMRB",R19=0),0,IF(AND($D47="F-SMRC",R19=0),0,IF($D47='W10'!$A$68,'W10'!J312,IF($D47='W10'!$A$69,'W10'!J312,IF($D47='W10'!$A$70,'W10'!J312,ROUND(('R10'!R19/'W10'!$G$5*'W10'!$G$9*(IF('R10'!$D47='W10'!$A$47,'W10'!J$47,IF('R10'!$D47='W10'!$A$48,'W10'!J$48,IF('R10'!$D47='W10'!$A$49,'W10'!J$49,IF('R10'!$D47='W10'!$A$50,'W10'!J$50,IF('R10'!$D47='W10'!$A$51,'W10'!J$51,IF('R10'!$D47='W10'!$A$52,'W10'!J$52,IF('R10'!$D47='W10'!$A$53,'W10'!J$53,IF('R10'!$D47='W10'!$A$54,'W10'!J$54,IF('R10'!$D47='W10'!$A$55,'W10'!J$55))))))))))),0)+ROUND(R19/'W10'!$G$5*'W10'!$G$10*(IF('R10'!$D47='W10'!$A$47,'W10'!K$47,IF('R10'!$D47='W10'!$A$48,'W10'!K$48,IF('R10'!$D47='W10'!$A$49,'W10'!K$49,IF('R10'!$D47='W10'!$A$50,'W10'!K$50,IF('R10'!$D47='W10'!$A$51,'W10'!K$51,IF('R10'!$D47='W10'!$A$52,'W10'!K$52,IF('R10'!$D47='W10'!$A$53,'W10'!K$53,IF('R10'!$D47='W10'!$A$54,'W10'!K$54,IF('R10'!$D47='W10'!$A$55,'W10'!K$55)))))))))),0))))))))</f>
        <v>0</v>
      </c>
      <c r="S47" s="187">
        <f t="shared" ca="1" si="3"/>
        <v>0</v>
      </c>
      <c r="T47" s="248"/>
      <c r="U47" s="248"/>
      <c r="V47" s="248"/>
      <c r="W47" s="248"/>
      <c r="X47" s="248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</row>
    <row r="48" spans="1:51" hidden="1" x14ac:dyDescent="0.2">
      <c r="A48" s="92">
        <v>13</v>
      </c>
      <c r="B48" s="381">
        <f t="shared" si="2"/>
        <v>0</v>
      </c>
      <c r="C48" s="382"/>
      <c r="D48" s="199" t="s">
        <v>52</v>
      </c>
      <c r="E48" s="265" t="str">
        <f>IF($D48='W10'!$A$59,'W10'!B$59,IF($D48='W10'!$A$60,'W10'!B$60,IF($D48='W10'!$A$61,'W10'!B$61,IF($D48='W10'!$A$62,'W10'!B$62,IF($D48='W10'!$A$63,'W10'!B$63,IF($D48='W10'!$A$64,'W10'!B$64,IF($D48='W10'!$A$65,'W10'!B$65,IF($D48='W10'!$A$66,'W10'!B$66,IF($D48='W10'!$A$67,'W10'!B$67,IF($D48='W10'!$A$68,'W10'!B287,IF($D48='W10'!$A$69,'W10'!B287,IF($D48='W10'!$A$70,'W10'!B287,IF($D48='W10'!$A$71,"")))))))))))))</f>
        <v/>
      </c>
      <c r="F48" s="378" t="str">
        <f>IF($D48='W10'!$A$59,'W10'!C$59,IF($D48='W10'!$A$60,'W10'!C$60,IF($D48='W10'!$A$61,'W10'!C$61,IF($D48='W10'!$A$62,'W10'!C$62,IF($D48='W10'!$A$63,'W10'!C$63,IF($D48='W10'!$A$64,'W10'!C$64,IF($D48='W10'!$A$65,'W10'!C$65,IF($D48='W10'!$A$66,'W10'!C$66,IF($D48='W10'!$A$67,'W10'!C$67,IF($D48='W10'!$A$68,'W10'!D287,IF($D48='W10'!$A$69,'W10'!D287,IF($D48='W10'!$A$70,'W10'!D287,IF($D48='W10'!$A$71,"")))))))))))))</f>
        <v/>
      </c>
      <c r="G48" s="379"/>
      <c r="H48" s="366" t="str">
        <f>IF($D48='W10'!$A$59,'W10'!D$59,IF($D48='W10'!$A$60,'W10'!D$60,IF($D48='W10'!$A$61,'W10'!D$61,IF($D48='W10'!$A$62,'W10'!D$62,IF($D48='W10'!$A$63,'W10'!D$63,IF($D48='W10'!$A$64,'W10'!D$64,IF($D48='W10'!$A$65,'W10'!D$65,IF($D48='W10'!$A$66,'W10'!D$66,IF($D48='W10'!$A$67,'W10'!D$67,IF($D48='W10'!$A$68,'W10'!F287,IF($D48='W10'!$A$69,'W10'!F287,IF($D48='W10'!$A$70,'W10'!F287,IF($D48='W10'!$A$71,"")))))))))))))</f>
        <v/>
      </c>
      <c r="I48" s="367"/>
      <c r="J48" s="366" t="str">
        <f>IF($D48='W10'!$A$59,'W10'!E$59,IF($D48='W10'!$A$60,'W10'!E$60,IF($D48='W10'!$A$61,'W10'!E$61,IF($D48='W10'!$A$62,'W10'!E$62,IF($D48='W10'!$A$63,'W10'!E$63,IF($D48='W10'!$A$64,'W10'!E$64,IF($D48='W10'!$A$65,'W10'!E$65,IF($D48='W10'!$A$66,'W10'!E$66,IF($D48='W10'!$A$67,'W10'!E$67,IF($D48='W10'!$A$68,'W10'!H287,IF($D48='W10'!$A$69,'W10'!H287,IF($D48='W10'!$A$70,'W10'!H287,IF($D48='W10'!$A$71,"")))))))))))))</f>
        <v/>
      </c>
      <c r="K48" s="367"/>
      <c r="L48" s="366" t="str">
        <f>IF($D48='W10'!$A$59,'W10'!F$59,IF($D48='W10'!$A$60,'W10'!F$60,IF($D48='W10'!$A$61,'W10'!F$61,IF($D48='W10'!$A$62,'W10'!F$62,IF($D48='W10'!$A$63,'W10'!F$63,IF($D48='W10'!$A$64,'W10'!F$64,IF($D48='W10'!$A$65,'W10'!F$65,IF($D48='W10'!$A$66,'W10'!F$66,IF($D48='W10'!$A$67,'W10'!F$67,IF($D48='W10'!$A$68,'W10'!J287,IF($D48='W10'!$A$69,'W10'!J287,IF($D48='W10'!$A$70,'W10'!J287,IF($D48='W10'!$A$71,"")))))))))))))</f>
        <v/>
      </c>
      <c r="M48" s="367"/>
      <c r="N48" s="187">
        <f ca="1">IF(N20=0,0,IF(AND($D48="F-SMRA",N20=0),0,IF(AND($D48="F-SMRB",N20=0),0,IF(AND($D48="F-SMRC",N20=0),0,IF($D48='W10'!$A$68,'W10'!B313,IF($D48='W10'!$A$69,'W10'!B313,IF($D48='W10'!$A$70,'W10'!B313,ROUND(('R10'!N20/'W10'!$C$5*'W10'!$C$9*(IF('R10'!$D48='W10'!$A$47,'W10'!B$47,IF('R10'!$D48='W10'!$A$48,'W10'!B$48,IF('R10'!$D48='W10'!$A$49,'W10'!B$49,IF('R10'!$D48='W10'!$A$50,'W10'!B$50,IF('R10'!$D48='W10'!$A$51,'W10'!B$51,IF('R10'!$D48='W10'!$A$52,'W10'!B$52,IF('R10'!$D48='W10'!$A$53,'W10'!B$53,IF('R10'!$D48='W10'!$A$54,'W10'!B$54,IF('R10'!$D48='W10'!$A$55,'W10'!B$55))))))))))),0)+ROUND(N20/'W10'!$C$5*'W10'!$C$10*(IF('R10'!$D48='W10'!$A$47,'W10'!C$47,IF('R10'!$D48='W10'!$A$48,'W10'!C$48,IF('R10'!$D48='W10'!$A$49,'W10'!C$49,IF('R10'!$D48='W10'!$A$50,'W10'!C$50,IF('R10'!$D48='W10'!$A$51,'W10'!C$51,IF('R10'!$D48='W10'!$A$52,'W10'!C$52,IF('R10'!$D48='W10'!$A$53,'W10'!C$53,IF('R10'!$D48='W10'!$A$54,'W10'!C$54,IF('R10'!$D48='W10'!$A$55,'W10'!C$55)))))))))),0))))))))</f>
        <v>0</v>
      </c>
      <c r="O48" s="187">
        <f ca="1">IF(O20=0,0,IF(AND($D48="F-SMRA",O20=0),0,IF(AND($D48="F-SMRB",O20=0),0,IF(AND($D48="F-SMRC",O20=0),0,IF($D48='W10'!$A$68,'W10'!D313,IF($D48='W10'!$A$69,'W10'!D313,IF($D48='W10'!$A$70,'W10'!D313,ROUND(('R10'!O20/'W10'!$D$5*'W10'!$D$9*(IF('R10'!$D48='W10'!$A$47,'W10'!D$47,IF('R10'!$D48='W10'!$A$48,'W10'!D$48,IF('R10'!$D48='W10'!$A$49,'W10'!D$49,IF('R10'!$D48='W10'!$A$50,'W10'!D$50,IF('R10'!$D48='W10'!$A$51,'W10'!D$51,IF('R10'!$D48='W10'!$A$52,'W10'!D$52,IF('R10'!$D48='W10'!$A$53,'W10'!D$53,IF('R10'!$D48='W10'!$A$54,'W10'!D$54,IF('R10'!$D48='W10'!$A$55,'W10'!D$55))))))))))),0)+ROUND(O20/'W10'!$D$5*'W10'!$D$10*(IF('R10'!$D48='W10'!$A$47,'W10'!E$47,IF('R10'!$D48='W10'!$A$48,'W10'!E$48,IF('R10'!$D48='W10'!$A$49,'W10'!E$49,IF('R10'!$D48='W10'!$A$50,'W10'!E$50,IF('R10'!$D48='W10'!$A$51,'W10'!E$51,IF('R10'!$D48='W10'!$A$52,'W10'!E$52,IF('R10'!$D48='W10'!$A$53,'W10'!E$53,IF('R10'!$D48='W10'!$A$54,'W10'!E$54,IF('R10'!$D48='W10'!$A$55,'W10'!E$55)))))))))),0))))))))</f>
        <v>0</v>
      </c>
      <c r="P48" s="187">
        <f ca="1">IF(P20=0,0,IF(AND($D48="F-SMRA",P20=0),0,IF(AND($D48="F-SMRB",P20=0),0,IF(AND($D48="F-SMRC",P20=0),0,IF($D48='W10'!$A$68,'W10'!F313,IF($D48='W10'!$A$69,'W10'!F313,IF($D48='W10'!$A$70,'W10'!F313,ROUND(('R10'!P20/'W10'!$E$5*'W10'!$E$9*(IF('R10'!$D48='W10'!$A$47,'W10'!F$47,IF('R10'!$D48='W10'!$A$48,'W10'!F$48,IF('R10'!$D48='W10'!$A$49,'W10'!F$49,IF('R10'!$D48='W10'!$A$50,'W10'!F$50,IF('R10'!$D48='W10'!$A$51,'W10'!F$51,IF('R10'!$D48='W10'!$A$52,'W10'!F$52,IF('R10'!$D48='W10'!$A$53,'W10'!F$53,IF('R10'!$D48='W10'!$A$54,'W10'!F$54,IF('R10'!$D48='W10'!$A$55,'W10'!F$55))))))))))),0)+ROUND(P20/'W10'!$E$5*'W10'!$E$10*(IF('R10'!$D48='W10'!$A$47,'W10'!G$47,IF('R10'!$D48='W10'!$A$48,'W10'!G$48,IF('R10'!$D48='W10'!$A$49,'W10'!G$49,IF('R10'!$D48='W10'!$A$50,'W10'!G$50,IF('R10'!$D48='W10'!$A$51,'W10'!G$51,IF('R10'!$D48='W10'!$A$52,'W10'!G$52,IF('R10'!$D48='W10'!$A$53,'W10'!G$53,IF('R10'!$D48='W10'!$A$54,'W10'!G$54,IF('R10'!$D48='W10'!$A$55,'W10'!G$55)))))))))),0))))))))</f>
        <v>0</v>
      </c>
      <c r="Q48" s="187">
        <f ca="1">IF(Q20=0,0,IF(AND($D48="F-SMRA",Q20=0),0,IF(AND($D48="F-SMRB",Q20=0),0,IF(AND($D48="F-SMRC",Q20=0),0,IF($D48='W10'!$A$68,'W10'!H313,IF($D48='W10'!$A$69,'W10'!H313,IF($D48='W10'!$A$70,'W10'!H313,ROUND(('R10'!Q20/'W10'!$F$5*'W10'!$F$9*(IF('R10'!$D48='W10'!$A$47,'W10'!H$47,IF('R10'!$D48='W10'!$A$48,'W10'!H$48,IF('R10'!$D48='W10'!$A$49,'W10'!H$49,IF('R10'!$D48='W10'!$A$50,'W10'!H$50,IF('R10'!$D48='W10'!$A$51,'W10'!H$51,IF('R10'!$D48='W10'!$A$52,'W10'!H$52,IF('R10'!$D48='W10'!$A$53,'W10'!H$53,IF('R10'!$D48='W10'!$A$54,'W10'!H$54,IF('R10'!$D48='W10'!$A$55,'W10'!H$55))))))))))),0)+ROUND(Q20/'W10'!$F$5*'W10'!$F$10*(IF('R10'!$D48='W10'!$A$47,'W10'!I$47,IF('R10'!$D48='W10'!$A$48,'W10'!I$48,IF('R10'!$D48='W10'!$A$49,'W10'!I$49,IF('R10'!$D48='W10'!$A$50,'W10'!I$50,IF('R10'!$D48='W10'!$A$51,'W10'!I$51,IF('R10'!$D48='W10'!$A$52,'W10'!I$52,IF('R10'!$D48='W10'!$A$53,'W10'!I$53,IF('R10'!$D48='W10'!$A$54,'W10'!I$54,IF('R10'!$D48='W10'!$A$55,'W10'!I$55)))))))))),0))))))))</f>
        <v>0</v>
      </c>
      <c r="R48" s="187">
        <f ca="1">IF(R20=0,0,IF(AND($D48="F-SMRA",R20=0),0,IF(AND($D48="F-SMRB",R20=0),0,IF(AND($D48="F-SMRC",R20=0),0,IF($D48='W10'!$A$68,'W10'!J313,IF($D48='W10'!$A$69,'W10'!J313,IF($D48='W10'!$A$70,'W10'!J313,ROUND(('R10'!R20/'W10'!$G$5*'W10'!$G$9*(IF('R10'!$D48='W10'!$A$47,'W10'!J$47,IF('R10'!$D48='W10'!$A$48,'W10'!J$48,IF('R10'!$D48='W10'!$A$49,'W10'!J$49,IF('R10'!$D48='W10'!$A$50,'W10'!J$50,IF('R10'!$D48='W10'!$A$51,'W10'!J$51,IF('R10'!$D48='W10'!$A$52,'W10'!J$52,IF('R10'!$D48='W10'!$A$53,'W10'!J$53,IF('R10'!$D48='W10'!$A$54,'W10'!J$54,IF('R10'!$D48='W10'!$A$55,'W10'!J$55))))))))))),0)+ROUND(R20/'W10'!$G$5*'W10'!$G$10*(IF('R10'!$D48='W10'!$A$47,'W10'!K$47,IF('R10'!$D48='W10'!$A$48,'W10'!K$48,IF('R10'!$D48='W10'!$A$49,'W10'!K$49,IF('R10'!$D48='W10'!$A$50,'W10'!K$50,IF('R10'!$D48='W10'!$A$51,'W10'!K$51,IF('R10'!$D48='W10'!$A$52,'W10'!K$52,IF('R10'!$D48='W10'!$A$53,'W10'!K$53,IF('R10'!$D48='W10'!$A$54,'W10'!K$54,IF('R10'!$D48='W10'!$A$55,'W10'!K$55)))))))))),0))))))))</f>
        <v>0</v>
      </c>
      <c r="S48" s="187">
        <f t="shared" ca="1" si="3"/>
        <v>0</v>
      </c>
      <c r="T48" s="248"/>
      <c r="U48" s="248"/>
      <c r="V48" s="248"/>
      <c r="W48" s="248"/>
      <c r="X48" s="248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</row>
    <row r="49" spans="1:51" hidden="1" x14ac:dyDescent="0.2">
      <c r="A49" s="92">
        <v>14</v>
      </c>
      <c r="B49" s="381">
        <f t="shared" si="2"/>
        <v>0</v>
      </c>
      <c r="C49" s="382"/>
      <c r="D49" s="199" t="s">
        <v>52</v>
      </c>
      <c r="E49" s="265" t="str">
        <f>IF($D49='W10'!$A$59,'W10'!B$59,IF($D49='W10'!$A$60,'W10'!B$60,IF($D49='W10'!$A$61,'W10'!B$61,IF($D49='W10'!$A$62,'W10'!B$62,IF($D49='W10'!$A$63,'W10'!B$63,IF($D49='W10'!$A$64,'W10'!B$64,IF($D49='W10'!$A$65,'W10'!B$65,IF($D49='W10'!$A$66,'W10'!B$66,IF($D49='W10'!$A$67,'W10'!B$67,IF($D49='W10'!$A$68,'W10'!B288,IF($D49='W10'!$A$69,'W10'!B288,IF($D49='W10'!$A$70,'W10'!B288,IF($D49='W10'!$A$71,"")))))))))))))</f>
        <v/>
      </c>
      <c r="F49" s="378" t="str">
        <f>IF($D49='W10'!$A$59,'W10'!C$59,IF($D49='W10'!$A$60,'W10'!C$60,IF($D49='W10'!$A$61,'W10'!C$61,IF($D49='W10'!$A$62,'W10'!C$62,IF($D49='W10'!$A$63,'W10'!C$63,IF($D49='W10'!$A$64,'W10'!C$64,IF($D49='W10'!$A$65,'W10'!C$65,IF($D49='W10'!$A$66,'W10'!C$66,IF($D49='W10'!$A$67,'W10'!C$67,IF($D49='W10'!$A$68,'W10'!D288,IF($D49='W10'!$A$69,'W10'!D288,IF($D49='W10'!$A$70,'W10'!D288,IF($D49='W10'!$A$71,"")))))))))))))</f>
        <v/>
      </c>
      <c r="G49" s="379"/>
      <c r="H49" s="366" t="str">
        <f>IF($D49='W10'!$A$59,'W10'!D$59,IF($D49='W10'!$A$60,'W10'!D$60,IF($D49='W10'!$A$61,'W10'!D$61,IF($D49='W10'!$A$62,'W10'!D$62,IF($D49='W10'!$A$63,'W10'!D$63,IF($D49='W10'!$A$64,'W10'!D$64,IF($D49='W10'!$A$65,'W10'!D$65,IF($D49='W10'!$A$66,'W10'!D$66,IF($D49='W10'!$A$67,'W10'!D$67,IF($D49='W10'!$A$68,'W10'!F288,IF($D49='W10'!$A$69,'W10'!F288,IF($D49='W10'!$A$70,'W10'!F288,IF($D49='W10'!$A$71,"")))))))))))))</f>
        <v/>
      </c>
      <c r="I49" s="367"/>
      <c r="J49" s="366" t="str">
        <f>IF($D49='W10'!$A$59,'W10'!E$59,IF($D49='W10'!$A$60,'W10'!E$60,IF($D49='W10'!$A$61,'W10'!E$61,IF($D49='W10'!$A$62,'W10'!E$62,IF($D49='W10'!$A$63,'W10'!E$63,IF($D49='W10'!$A$64,'W10'!E$64,IF($D49='W10'!$A$65,'W10'!E$65,IF($D49='W10'!$A$66,'W10'!E$66,IF($D49='W10'!$A$67,'W10'!E$67,IF($D49='W10'!$A$68,'W10'!H288,IF($D49='W10'!$A$69,'W10'!H288,IF($D49='W10'!$A$70,'W10'!H288,IF($D49='W10'!$A$71,"")))))))))))))</f>
        <v/>
      </c>
      <c r="K49" s="367"/>
      <c r="L49" s="366" t="str">
        <f>IF($D49='W10'!$A$59,'W10'!F$59,IF($D49='W10'!$A$60,'W10'!F$60,IF($D49='W10'!$A$61,'W10'!F$61,IF($D49='W10'!$A$62,'W10'!F$62,IF($D49='W10'!$A$63,'W10'!F$63,IF($D49='W10'!$A$64,'W10'!F$64,IF($D49='W10'!$A$65,'W10'!F$65,IF($D49='W10'!$A$66,'W10'!F$66,IF($D49='W10'!$A$67,'W10'!F$67,IF($D49='W10'!$A$68,'W10'!J288,IF($D49='W10'!$A$69,'W10'!J288,IF($D49='W10'!$A$70,'W10'!J288,IF($D49='W10'!$A$71,"")))))))))))))</f>
        <v/>
      </c>
      <c r="M49" s="367"/>
      <c r="N49" s="187">
        <f ca="1">IF(N21=0,0,IF(AND($D49="F-SMRA",N21=0),0,IF(AND($D49="F-SMRB",N21=0),0,IF(AND($D49="F-SMRC",N21=0),0,IF($D49='W10'!$A$68,'W10'!B314,IF($D49='W10'!$A$69,'W10'!B314,IF($D49='W10'!$A$70,'W10'!B314,ROUND(('R10'!N21/'W10'!$C$5*'W10'!$C$9*(IF('R10'!$D49='W10'!$A$47,'W10'!B$47,IF('R10'!$D49='W10'!$A$48,'W10'!B$48,IF('R10'!$D49='W10'!$A$49,'W10'!B$49,IF('R10'!$D49='W10'!$A$50,'W10'!B$50,IF('R10'!$D49='W10'!$A$51,'W10'!B$51,IF('R10'!$D49='W10'!$A$52,'W10'!B$52,IF('R10'!$D49='W10'!$A$53,'W10'!B$53,IF('R10'!$D49='W10'!$A$54,'W10'!B$54,IF('R10'!$D49='W10'!$A$55,'W10'!B$55))))))))))),0)+ROUND(N21/'W10'!$C$5*'W10'!$C$10*(IF('R10'!$D49='W10'!$A$47,'W10'!C$47,IF('R10'!$D49='W10'!$A$48,'W10'!C$48,IF('R10'!$D49='W10'!$A$49,'W10'!C$49,IF('R10'!$D49='W10'!$A$50,'W10'!C$50,IF('R10'!$D49='W10'!$A$51,'W10'!C$51,IF('R10'!$D49='W10'!$A$52,'W10'!C$52,IF('R10'!$D49='W10'!$A$53,'W10'!C$53,IF('R10'!$D49='W10'!$A$54,'W10'!C$54,IF('R10'!$D49='W10'!$A$55,'W10'!C$55)))))))))),0))))))))</f>
        <v>0</v>
      </c>
      <c r="O49" s="187">
        <f ca="1">IF(O21=0,0,IF(AND($D49="F-SMRA",O21=0),0,IF(AND($D49="F-SMRB",O21=0),0,IF(AND($D49="F-SMRC",O21=0),0,IF($D49='W10'!$A$68,'W10'!D314,IF($D49='W10'!$A$69,'W10'!D314,IF($D49='W10'!$A$70,'W10'!D314,ROUND(('R10'!O21/'W10'!$D$5*'W10'!$D$9*(IF('R10'!$D49='W10'!$A$47,'W10'!D$47,IF('R10'!$D49='W10'!$A$48,'W10'!D$48,IF('R10'!$D49='W10'!$A$49,'W10'!D$49,IF('R10'!$D49='W10'!$A$50,'W10'!D$50,IF('R10'!$D49='W10'!$A$51,'W10'!D$51,IF('R10'!$D49='W10'!$A$52,'W10'!D$52,IF('R10'!$D49='W10'!$A$53,'W10'!D$53,IF('R10'!$D49='W10'!$A$54,'W10'!D$54,IF('R10'!$D49='W10'!$A$55,'W10'!D$55))))))))))),0)+ROUND(O21/'W10'!$D$5*'W10'!$D$10*(IF('R10'!$D49='W10'!$A$47,'W10'!E$47,IF('R10'!$D49='W10'!$A$48,'W10'!E$48,IF('R10'!$D49='W10'!$A$49,'W10'!E$49,IF('R10'!$D49='W10'!$A$50,'W10'!E$50,IF('R10'!$D49='W10'!$A$51,'W10'!E$51,IF('R10'!$D49='W10'!$A$52,'W10'!E$52,IF('R10'!$D49='W10'!$A$53,'W10'!E$53,IF('R10'!$D49='W10'!$A$54,'W10'!E$54,IF('R10'!$D49='W10'!$A$55,'W10'!E$55)))))))))),0))))))))</f>
        <v>0</v>
      </c>
      <c r="P49" s="187">
        <f ca="1">IF(P21=0,0,IF(AND($D49="F-SMRA",P21=0),0,IF(AND($D49="F-SMRB",P21=0),0,IF(AND($D49="F-SMRC",P21=0),0,IF($D49='W10'!$A$68,'W10'!F314,IF($D49='W10'!$A$69,'W10'!F314,IF($D49='W10'!$A$70,'W10'!F314,ROUND(('R10'!P21/'W10'!$E$5*'W10'!$E$9*(IF('R10'!$D49='W10'!$A$47,'W10'!F$47,IF('R10'!$D49='W10'!$A$48,'W10'!F$48,IF('R10'!$D49='W10'!$A$49,'W10'!F$49,IF('R10'!$D49='W10'!$A$50,'W10'!F$50,IF('R10'!$D49='W10'!$A$51,'W10'!F$51,IF('R10'!$D49='W10'!$A$52,'W10'!F$52,IF('R10'!$D49='W10'!$A$53,'W10'!F$53,IF('R10'!$D49='W10'!$A$54,'W10'!F$54,IF('R10'!$D49='W10'!$A$55,'W10'!F$55))))))))))),0)+ROUND(P21/'W10'!$E$5*'W10'!$E$10*(IF('R10'!$D49='W10'!$A$47,'W10'!G$47,IF('R10'!$D49='W10'!$A$48,'W10'!G$48,IF('R10'!$D49='W10'!$A$49,'W10'!G$49,IF('R10'!$D49='W10'!$A$50,'W10'!G$50,IF('R10'!$D49='W10'!$A$51,'W10'!G$51,IF('R10'!$D49='W10'!$A$52,'W10'!G$52,IF('R10'!$D49='W10'!$A$53,'W10'!G$53,IF('R10'!$D49='W10'!$A$54,'W10'!G$54,IF('R10'!$D49='W10'!$A$55,'W10'!G$55)))))))))),0))))))))</f>
        <v>0</v>
      </c>
      <c r="Q49" s="187">
        <f ca="1">IF(Q21=0,0,IF(AND($D49="F-SMRA",Q21=0),0,IF(AND($D49="F-SMRB",Q21=0),0,IF(AND($D49="F-SMRC",Q21=0),0,IF($D49='W10'!$A$68,'W10'!H314,IF($D49='W10'!$A$69,'W10'!H314,IF($D49='W10'!$A$70,'W10'!H314,ROUND(('R10'!Q21/'W10'!$F$5*'W10'!$F$9*(IF('R10'!$D49='W10'!$A$47,'W10'!H$47,IF('R10'!$D49='W10'!$A$48,'W10'!H$48,IF('R10'!$D49='W10'!$A$49,'W10'!H$49,IF('R10'!$D49='W10'!$A$50,'W10'!H$50,IF('R10'!$D49='W10'!$A$51,'W10'!H$51,IF('R10'!$D49='W10'!$A$52,'W10'!H$52,IF('R10'!$D49='W10'!$A$53,'W10'!H$53,IF('R10'!$D49='W10'!$A$54,'W10'!H$54,IF('R10'!$D49='W10'!$A$55,'W10'!H$55))))))))))),0)+ROUND(Q21/'W10'!$F$5*'W10'!$F$10*(IF('R10'!$D49='W10'!$A$47,'W10'!I$47,IF('R10'!$D49='W10'!$A$48,'W10'!I$48,IF('R10'!$D49='W10'!$A$49,'W10'!I$49,IF('R10'!$D49='W10'!$A$50,'W10'!I$50,IF('R10'!$D49='W10'!$A$51,'W10'!I$51,IF('R10'!$D49='W10'!$A$52,'W10'!I$52,IF('R10'!$D49='W10'!$A$53,'W10'!I$53,IF('R10'!$D49='W10'!$A$54,'W10'!I$54,IF('R10'!$D49='W10'!$A$55,'W10'!I$55)))))))))),0))))))))</f>
        <v>0</v>
      </c>
      <c r="R49" s="187">
        <f ca="1">IF(R21=0,0,IF(AND($D49="F-SMRA",R21=0),0,IF(AND($D49="F-SMRB",R21=0),0,IF(AND($D49="F-SMRC",R21=0),0,IF($D49='W10'!$A$68,'W10'!J314,IF($D49='W10'!$A$69,'W10'!J314,IF($D49='W10'!$A$70,'W10'!J314,ROUND(('R10'!R21/'W10'!$G$5*'W10'!$G$9*(IF('R10'!$D49='W10'!$A$47,'W10'!J$47,IF('R10'!$D49='W10'!$A$48,'W10'!J$48,IF('R10'!$D49='W10'!$A$49,'W10'!J$49,IF('R10'!$D49='W10'!$A$50,'W10'!J$50,IF('R10'!$D49='W10'!$A$51,'W10'!J$51,IF('R10'!$D49='W10'!$A$52,'W10'!J$52,IF('R10'!$D49='W10'!$A$53,'W10'!J$53,IF('R10'!$D49='W10'!$A$54,'W10'!J$54,IF('R10'!$D49='W10'!$A$55,'W10'!J$55))))))))))),0)+ROUND(R21/'W10'!$G$5*'W10'!$G$10*(IF('R10'!$D49='W10'!$A$47,'W10'!K$47,IF('R10'!$D49='W10'!$A$48,'W10'!K$48,IF('R10'!$D49='W10'!$A$49,'W10'!K$49,IF('R10'!$D49='W10'!$A$50,'W10'!K$50,IF('R10'!$D49='W10'!$A$51,'W10'!K$51,IF('R10'!$D49='W10'!$A$52,'W10'!K$52,IF('R10'!$D49='W10'!$A$53,'W10'!K$53,IF('R10'!$D49='W10'!$A$54,'W10'!K$54,IF('R10'!$D49='W10'!$A$55,'W10'!K$55)))))))))),0))))))))</f>
        <v>0</v>
      </c>
      <c r="S49" s="187">
        <f t="shared" ca="1" si="3"/>
        <v>0</v>
      </c>
      <c r="T49" s="248"/>
      <c r="U49" s="248"/>
      <c r="V49" s="248"/>
      <c r="W49" s="248"/>
      <c r="X49" s="248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</row>
    <row r="50" spans="1:51" hidden="1" x14ac:dyDescent="0.2">
      <c r="A50" s="92">
        <v>15</v>
      </c>
      <c r="B50" s="381">
        <f t="shared" si="2"/>
        <v>0</v>
      </c>
      <c r="C50" s="382"/>
      <c r="D50" s="199" t="s">
        <v>52</v>
      </c>
      <c r="E50" s="265" t="str">
        <f>IF($D50='W10'!$A$59,'W10'!B$59,IF($D50='W10'!$A$60,'W10'!B$60,IF($D50='W10'!$A$61,'W10'!B$61,IF($D50='W10'!$A$62,'W10'!B$62,IF($D50='W10'!$A$63,'W10'!B$63,IF($D50='W10'!$A$64,'W10'!B$64,IF($D50='W10'!$A$65,'W10'!B$65,IF($D50='W10'!$A$66,'W10'!B$66,IF($D50='W10'!$A$67,'W10'!B$67,IF($D50='W10'!$A$68,'W10'!B289,IF($D50='W10'!$A$69,'W10'!B289,IF($D50='W10'!$A$70,'W10'!B289,IF($D50='W10'!$A$71,"")))))))))))))</f>
        <v/>
      </c>
      <c r="F50" s="378" t="str">
        <f>IF($D50='W10'!$A$59,'W10'!C$59,IF($D50='W10'!$A$60,'W10'!C$60,IF($D50='W10'!$A$61,'W10'!C$61,IF($D50='W10'!$A$62,'W10'!C$62,IF($D50='W10'!$A$63,'W10'!C$63,IF($D50='W10'!$A$64,'W10'!C$64,IF($D50='W10'!$A$65,'W10'!C$65,IF($D50='W10'!$A$66,'W10'!C$66,IF($D50='W10'!$A$67,'W10'!C$67,IF($D50='W10'!$A$68,'W10'!D289,IF($D50='W10'!$A$69,'W10'!D289,IF($D50='W10'!$A$70,'W10'!D289,IF($D50='W10'!$A$71,"")))))))))))))</f>
        <v/>
      </c>
      <c r="G50" s="379"/>
      <c r="H50" s="366" t="str">
        <f>IF($D50='W10'!$A$59,'W10'!D$59,IF($D50='W10'!$A$60,'W10'!D$60,IF($D50='W10'!$A$61,'W10'!D$61,IF($D50='W10'!$A$62,'W10'!D$62,IF($D50='W10'!$A$63,'W10'!D$63,IF($D50='W10'!$A$64,'W10'!D$64,IF($D50='W10'!$A$65,'W10'!D$65,IF($D50='W10'!$A$66,'W10'!D$66,IF($D50='W10'!$A$67,'W10'!D$67,IF($D50='W10'!$A$68,'W10'!F289,IF($D50='W10'!$A$69,'W10'!F289,IF($D50='W10'!$A$70,'W10'!F289,IF($D50='W10'!$A$71,"")))))))))))))</f>
        <v/>
      </c>
      <c r="I50" s="367"/>
      <c r="J50" s="366" t="str">
        <f>IF($D50='W10'!$A$59,'W10'!E$59,IF($D50='W10'!$A$60,'W10'!E$60,IF($D50='W10'!$A$61,'W10'!E$61,IF($D50='W10'!$A$62,'W10'!E$62,IF($D50='W10'!$A$63,'W10'!E$63,IF($D50='W10'!$A$64,'W10'!E$64,IF($D50='W10'!$A$65,'W10'!E$65,IF($D50='W10'!$A$66,'W10'!E$66,IF($D50='W10'!$A$67,'W10'!E$67,IF($D50='W10'!$A$68,'W10'!H289,IF($D50='W10'!$A$69,'W10'!H289,IF($D50='W10'!$A$70,'W10'!H289,IF($D50='W10'!$A$71,"")))))))))))))</f>
        <v/>
      </c>
      <c r="K50" s="367"/>
      <c r="L50" s="366" t="str">
        <f>IF($D50='W10'!$A$59,'W10'!F$59,IF($D50='W10'!$A$60,'W10'!F$60,IF($D50='W10'!$A$61,'W10'!F$61,IF($D50='W10'!$A$62,'W10'!F$62,IF($D50='W10'!$A$63,'W10'!F$63,IF($D50='W10'!$A$64,'W10'!F$64,IF($D50='W10'!$A$65,'W10'!F$65,IF($D50='W10'!$A$66,'W10'!F$66,IF($D50='W10'!$A$67,'W10'!F$67,IF($D50='W10'!$A$68,'W10'!J289,IF($D50='W10'!$A$69,'W10'!J289,IF($D50='W10'!$A$70,'W10'!J289,IF($D50='W10'!$A$71,"")))))))))))))</f>
        <v/>
      </c>
      <c r="M50" s="367"/>
      <c r="N50" s="187">
        <f ca="1">IF(N22=0,0,IF(AND($D50="F-SMRA",N22=0),0,IF(AND($D50="F-SMRB",N22=0),0,IF(AND($D50="F-SMRC",N22=0),0,IF($D50='W10'!$A$68,'W10'!B315,IF($D50='W10'!$A$69,'W10'!B315,IF($D50='W10'!$A$70,'W10'!B315,ROUND(('R10'!N22/'W10'!$C$5*'W10'!$C$9*(IF('R10'!$D50='W10'!$A$47,'W10'!B$47,IF('R10'!$D50='W10'!$A$48,'W10'!B$48,IF('R10'!$D50='W10'!$A$49,'W10'!B$49,IF('R10'!$D50='W10'!$A$50,'W10'!B$50,IF('R10'!$D50='W10'!$A$51,'W10'!B$51,IF('R10'!$D50='W10'!$A$52,'W10'!B$52,IF('R10'!$D50='W10'!$A$53,'W10'!B$53,IF('R10'!$D50='W10'!$A$54,'W10'!B$54,IF('R10'!$D50='W10'!$A$55,'W10'!B$55))))))))))),0)+ROUND(N22/'W10'!$C$5*'W10'!$C$10*(IF('R10'!$D50='W10'!$A$47,'W10'!C$47,IF('R10'!$D50='W10'!$A$48,'W10'!C$48,IF('R10'!$D50='W10'!$A$49,'W10'!C$49,IF('R10'!$D50='W10'!$A$50,'W10'!C$50,IF('R10'!$D50='W10'!$A$51,'W10'!C$51,IF('R10'!$D50='W10'!$A$52,'W10'!C$52,IF('R10'!$D50='W10'!$A$53,'W10'!C$53,IF('R10'!$D50='W10'!$A$54,'W10'!C$54,IF('R10'!$D50='W10'!$A$55,'W10'!C$55)))))))))),0))))))))</f>
        <v>0</v>
      </c>
      <c r="O50" s="187">
        <f ca="1">IF(O22=0,0,IF(AND($D50="F-SMRA",O22=0),0,IF(AND($D50="F-SMRB",O22=0),0,IF(AND($D50="F-SMRC",O22=0),0,IF($D50='W10'!$A$68,'W10'!D315,IF($D50='W10'!$A$69,'W10'!D315,IF($D50='W10'!$A$70,'W10'!D315,ROUND(('R10'!O22/'W10'!$D$5*'W10'!$D$9*(IF('R10'!$D50='W10'!$A$47,'W10'!D$47,IF('R10'!$D50='W10'!$A$48,'W10'!D$48,IF('R10'!$D50='W10'!$A$49,'W10'!D$49,IF('R10'!$D50='W10'!$A$50,'W10'!D$50,IF('R10'!$D50='W10'!$A$51,'W10'!D$51,IF('R10'!$D50='W10'!$A$52,'W10'!D$52,IF('R10'!$D50='W10'!$A$53,'W10'!D$53,IF('R10'!$D50='W10'!$A$54,'W10'!D$54,IF('R10'!$D50='W10'!$A$55,'W10'!D$55))))))))))),0)+ROUND(O22/'W10'!$D$5*'W10'!$D$10*(IF('R10'!$D50='W10'!$A$47,'W10'!E$47,IF('R10'!$D50='W10'!$A$48,'W10'!E$48,IF('R10'!$D50='W10'!$A$49,'W10'!E$49,IF('R10'!$D50='W10'!$A$50,'W10'!E$50,IF('R10'!$D50='W10'!$A$51,'W10'!E$51,IF('R10'!$D50='W10'!$A$52,'W10'!E$52,IF('R10'!$D50='W10'!$A$53,'W10'!E$53,IF('R10'!$D50='W10'!$A$54,'W10'!E$54,IF('R10'!$D50='W10'!$A$55,'W10'!E$55)))))))))),0))))))))</f>
        <v>0</v>
      </c>
      <c r="P50" s="187">
        <f ca="1">IF(P22=0,0,IF(AND($D50="F-SMRA",P22=0),0,IF(AND($D50="F-SMRB",P22=0),0,IF(AND($D50="F-SMRC",P22=0),0,IF($D50='W10'!$A$68,'W10'!F315,IF($D50='W10'!$A$69,'W10'!F315,IF($D50='W10'!$A$70,'W10'!F315,ROUND(('R10'!P22/'W10'!$E$5*'W10'!$E$9*(IF('R10'!$D50='W10'!$A$47,'W10'!F$47,IF('R10'!$D50='W10'!$A$48,'W10'!F$48,IF('R10'!$D50='W10'!$A$49,'W10'!F$49,IF('R10'!$D50='W10'!$A$50,'W10'!F$50,IF('R10'!$D50='W10'!$A$51,'W10'!F$51,IF('R10'!$D50='W10'!$A$52,'W10'!F$52,IF('R10'!$D50='W10'!$A$53,'W10'!F$53,IF('R10'!$D50='W10'!$A$54,'W10'!F$54,IF('R10'!$D50='W10'!$A$55,'W10'!F$55))))))))))),0)+ROUND(P22/'W10'!$E$5*'W10'!$E$10*(IF('R10'!$D50='W10'!$A$47,'W10'!G$47,IF('R10'!$D50='W10'!$A$48,'W10'!G$48,IF('R10'!$D50='W10'!$A$49,'W10'!G$49,IF('R10'!$D50='W10'!$A$50,'W10'!G$50,IF('R10'!$D50='W10'!$A$51,'W10'!G$51,IF('R10'!$D50='W10'!$A$52,'W10'!G$52,IF('R10'!$D50='W10'!$A$53,'W10'!G$53,IF('R10'!$D50='W10'!$A$54,'W10'!G$54,IF('R10'!$D50='W10'!$A$55,'W10'!G$55)))))))))),0))))))))</f>
        <v>0</v>
      </c>
      <c r="Q50" s="187">
        <f ca="1">IF(Q22=0,0,IF(AND($D50="F-SMRA",Q22=0),0,IF(AND($D50="F-SMRB",Q22=0),0,IF(AND($D50="F-SMRC",Q22=0),0,IF($D50='W10'!$A$68,'W10'!H315,IF($D50='W10'!$A$69,'W10'!H315,IF($D50='W10'!$A$70,'W10'!H315,ROUND(('R10'!Q22/'W10'!$F$5*'W10'!$F$9*(IF('R10'!$D50='W10'!$A$47,'W10'!H$47,IF('R10'!$D50='W10'!$A$48,'W10'!H$48,IF('R10'!$D50='W10'!$A$49,'W10'!H$49,IF('R10'!$D50='W10'!$A$50,'W10'!H$50,IF('R10'!$D50='W10'!$A$51,'W10'!H$51,IF('R10'!$D50='W10'!$A$52,'W10'!H$52,IF('R10'!$D50='W10'!$A$53,'W10'!H$53,IF('R10'!$D50='W10'!$A$54,'W10'!H$54,IF('R10'!$D50='W10'!$A$55,'W10'!H$55))))))))))),0)+ROUND(Q22/'W10'!$F$5*'W10'!$F$10*(IF('R10'!$D50='W10'!$A$47,'W10'!I$47,IF('R10'!$D50='W10'!$A$48,'W10'!I$48,IF('R10'!$D50='W10'!$A$49,'W10'!I$49,IF('R10'!$D50='W10'!$A$50,'W10'!I$50,IF('R10'!$D50='W10'!$A$51,'W10'!I$51,IF('R10'!$D50='W10'!$A$52,'W10'!I$52,IF('R10'!$D50='W10'!$A$53,'W10'!I$53,IF('R10'!$D50='W10'!$A$54,'W10'!I$54,IF('R10'!$D50='W10'!$A$55,'W10'!I$55)))))))))),0))))))))</f>
        <v>0</v>
      </c>
      <c r="R50" s="187">
        <f ca="1">IF(R22=0,0,IF(AND($D50="F-SMRA",R22=0),0,IF(AND($D50="F-SMRB",R22=0),0,IF(AND($D50="F-SMRC",R22=0),0,IF($D50='W10'!$A$68,'W10'!J315,IF($D50='W10'!$A$69,'W10'!J315,IF($D50='W10'!$A$70,'W10'!J315,ROUND(('R10'!R22/'W10'!$G$5*'W10'!$G$9*(IF('R10'!$D50='W10'!$A$47,'W10'!J$47,IF('R10'!$D50='W10'!$A$48,'W10'!J$48,IF('R10'!$D50='W10'!$A$49,'W10'!J$49,IF('R10'!$D50='W10'!$A$50,'W10'!J$50,IF('R10'!$D50='W10'!$A$51,'W10'!J$51,IF('R10'!$D50='W10'!$A$52,'W10'!J$52,IF('R10'!$D50='W10'!$A$53,'W10'!J$53,IF('R10'!$D50='W10'!$A$54,'W10'!J$54,IF('R10'!$D50='W10'!$A$55,'W10'!J$55))))))))))),0)+ROUND(R22/'W10'!$G$5*'W10'!$G$10*(IF('R10'!$D50='W10'!$A$47,'W10'!K$47,IF('R10'!$D50='W10'!$A$48,'W10'!K$48,IF('R10'!$D50='W10'!$A$49,'W10'!K$49,IF('R10'!$D50='W10'!$A$50,'W10'!K$50,IF('R10'!$D50='W10'!$A$51,'W10'!K$51,IF('R10'!$D50='W10'!$A$52,'W10'!K$52,IF('R10'!$D50='W10'!$A$53,'W10'!K$53,IF('R10'!$D50='W10'!$A$54,'W10'!K$54,IF('R10'!$D50='W10'!$A$55,'W10'!K$55)))))))))),0))))))))</f>
        <v>0</v>
      </c>
      <c r="S50" s="187">
        <f t="shared" ca="1" si="3"/>
        <v>0</v>
      </c>
      <c r="T50" s="248"/>
      <c r="U50" s="248"/>
      <c r="V50" s="248"/>
      <c r="W50" s="248"/>
      <c r="X50" s="248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</row>
    <row r="51" spans="1:51" hidden="1" x14ac:dyDescent="0.2">
      <c r="A51" s="92">
        <v>16</v>
      </c>
      <c r="B51" s="381">
        <f t="shared" si="2"/>
        <v>0</v>
      </c>
      <c r="C51" s="382"/>
      <c r="D51" s="199" t="s">
        <v>52</v>
      </c>
      <c r="E51" s="265" t="str">
        <f>IF($D51='W10'!$A$59,'W10'!B$59,IF($D51='W10'!$A$60,'W10'!B$60,IF($D51='W10'!$A$61,'W10'!B$61,IF($D51='W10'!$A$62,'W10'!B$62,IF($D51='W10'!$A$63,'W10'!B$63,IF($D51='W10'!$A$64,'W10'!B$64,IF($D51='W10'!$A$65,'W10'!B$65,IF($D51='W10'!$A$66,'W10'!B$66,IF($D51='W10'!$A$67,'W10'!B$67,IF($D51='W10'!$A$68,'W10'!B290,IF($D51='W10'!$A$69,'W10'!B290,IF($D51='W10'!$A$70,'W10'!B290,IF($D51='W10'!$A$71,"")))))))))))))</f>
        <v/>
      </c>
      <c r="F51" s="378" t="str">
        <f>IF($D51='W10'!$A$59,'W10'!C$59,IF($D51='W10'!$A$60,'W10'!C$60,IF($D51='W10'!$A$61,'W10'!C$61,IF($D51='W10'!$A$62,'W10'!C$62,IF($D51='W10'!$A$63,'W10'!C$63,IF($D51='W10'!$A$64,'W10'!C$64,IF($D51='W10'!$A$65,'W10'!C$65,IF($D51='W10'!$A$66,'W10'!C$66,IF($D51='W10'!$A$67,'W10'!C$67,IF($D51='W10'!$A$68,'W10'!D290,IF($D51='W10'!$A$69,'W10'!D290,IF($D51='W10'!$A$70,'W10'!D290,IF($D51='W10'!$A$71,"")))))))))))))</f>
        <v/>
      </c>
      <c r="G51" s="379"/>
      <c r="H51" s="366" t="str">
        <f>IF($D51='W10'!$A$59,'W10'!D$59,IF($D51='W10'!$A$60,'W10'!D$60,IF($D51='W10'!$A$61,'W10'!D$61,IF($D51='W10'!$A$62,'W10'!D$62,IF($D51='W10'!$A$63,'W10'!D$63,IF($D51='W10'!$A$64,'W10'!D$64,IF($D51='W10'!$A$65,'W10'!D$65,IF($D51='W10'!$A$66,'W10'!D$66,IF($D51='W10'!$A$67,'W10'!D$67,IF($D51='W10'!$A$68,'W10'!F290,IF($D51='W10'!$A$69,'W10'!F290,IF($D51='W10'!$A$70,'W10'!F290,IF($D51='W10'!$A$71,"")))))))))))))</f>
        <v/>
      </c>
      <c r="I51" s="367"/>
      <c r="J51" s="366" t="str">
        <f>IF($D51='W10'!$A$59,'W10'!E$59,IF($D51='W10'!$A$60,'W10'!E$60,IF($D51='W10'!$A$61,'W10'!E$61,IF($D51='W10'!$A$62,'W10'!E$62,IF($D51='W10'!$A$63,'W10'!E$63,IF($D51='W10'!$A$64,'W10'!E$64,IF($D51='W10'!$A$65,'W10'!E$65,IF($D51='W10'!$A$66,'W10'!E$66,IF($D51='W10'!$A$67,'W10'!E$67,IF($D51='W10'!$A$68,'W10'!H290,IF($D51='W10'!$A$69,'W10'!H290,IF($D51='W10'!$A$70,'W10'!H290,IF($D51='W10'!$A$71,"")))))))))))))</f>
        <v/>
      </c>
      <c r="K51" s="367"/>
      <c r="L51" s="366" t="str">
        <f>IF($D51='W10'!$A$59,'W10'!F$59,IF($D51='W10'!$A$60,'W10'!F$60,IF($D51='W10'!$A$61,'W10'!F$61,IF($D51='W10'!$A$62,'W10'!F$62,IF($D51='W10'!$A$63,'W10'!F$63,IF($D51='W10'!$A$64,'W10'!F$64,IF($D51='W10'!$A$65,'W10'!F$65,IF($D51='W10'!$A$66,'W10'!F$66,IF($D51='W10'!$A$67,'W10'!F$67,IF($D51='W10'!$A$68,'W10'!J290,IF($D51='W10'!$A$69,'W10'!J290,IF($D51='W10'!$A$70,'W10'!J290,IF($D51='W10'!$A$71,"")))))))))))))</f>
        <v/>
      </c>
      <c r="M51" s="367"/>
      <c r="N51" s="187">
        <f ca="1">IF(N23=0,0,IF(AND($D51="F-SMRA",N23=0),0,IF(AND($D51="F-SMRB",N23=0),0,IF(AND($D51="F-SMRC",N23=0),0,IF($D51='W10'!$A$68,'W10'!B316,IF($D51='W10'!$A$69,'W10'!B316,IF($D51='W10'!$A$70,'W10'!B316,ROUND(('R10'!N23/'W10'!$C$5*'W10'!$C$9*(IF('R10'!$D51='W10'!$A$47,'W10'!B$47,IF('R10'!$D51='W10'!$A$48,'W10'!B$48,IF('R10'!$D51='W10'!$A$49,'W10'!B$49,IF('R10'!$D51='W10'!$A$50,'W10'!B$50,IF('R10'!$D51='W10'!$A$51,'W10'!B$51,IF('R10'!$D51='W10'!$A$52,'W10'!B$52,IF('R10'!$D51='W10'!$A$53,'W10'!B$53,IF('R10'!$D51='W10'!$A$54,'W10'!B$54,IF('R10'!$D51='W10'!$A$55,'W10'!B$55))))))))))),0)+ROUND(N23/'W10'!$C$5*'W10'!$C$10*(IF('R10'!$D51='W10'!$A$47,'W10'!C$47,IF('R10'!$D51='W10'!$A$48,'W10'!C$48,IF('R10'!$D51='W10'!$A$49,'W10'!C$49,IF('R10'!$D51='W10'!$A$50,'W10'!C$50,IF('R10'!$D51='W10'!$A$51,'W10'!C$51,IF('R10'!$D51='W10'!$A$52,'W10'!C$52,IF('R10'!$D51='W10'!$A$53,'W10'!C$53,IF('R10'!$D51='W10'!$A$54,'W10'!C$54,IF('R10'!$D51='W10'!$A$55,'W10'!C$55)))))))))),0))))))))</f>
        <v>0</v>
      </c>
      <c r="O51" s="187">
        <f ca="1">IF(O23=0,0,IF(AND($D51="F-SMRA",O23=0),0,IF(AND($D51="F-SMRB",O23=0),0,IF(AND($D51="F-SMRC",O23=0),0,IF($D51='W10'!$A$68,'W10'!D316,IF($D51='W10'!$A$69,'W10'!D316,IF($D51='W10'!$A$70,'W10'!D316,ROUND(('R10'!O23/'W10'!$D$5*'W10'!$D$9*(IF('R10'!$D51='W10'!$A$47,'W10'!D$47,IF('R10'!$D51='W10'!$A$48,'W10'!D$48,IF('R10'!$D51='W10'!$A$49,'W10'!D$49,IF('R10'!$D51='W10'!$A$50,'W10'!D$50,IF('R10'!$D51='W10'!$A$51,'W10'!D$51,IF('R10'!$D51='W10'!$A$52,'W10'!D$52,IF('R10'!$D51='W10'!$A$53,'W10'!D$53,IF('R10'!$D51='W10'!$A$54,'W10'!D$54,IF('R10'!$D51='W10'!$A$55,'W10'!D$55))))))))))),0)+ROUND(O23/'W10'!$D$5*'W10'!$D$10*(IF('R10'!$D51='W10'!$A$47,'W10'!E$47,IF('R10'!$D51='W10'!$A$48,'W10'!E$48,IF('R10'!$D51='W10'!$A$49,'W10'!E$49,IF('R10'!$D51='W10'!$A$50,'W10'!E$50,IF('R10'!$D51='W10'!$A$51,'W10'!E$51,IF('R10'!$D51='W10'!$A$52,'W10'!E$52,IF('R10'!$D51='W10'!$A$53,'W10'!E$53,IF('R10'!$D51='W10'!$A$54,'W10'!E$54,IF('R10'!$D51='W10'!$A$55,'W10'!E$55)))))))))),0))))))))</f>
        <v>0</v>
      </c>
      <c r="P51" s="187">
        <f ca="1">IF(P23=0,0,IF(AND($D51="F-SMRA",P23=0),0,IF(AND($D51="F-SMRB",P23=0),0,IF(AND($D51="F-SMRC",P23=0),0,IF($D51='W10'!$A$68,'W10'!F316,IF($D51='W10'!$A$69,'W10'!F316,IF($D51='W10'!$A$70,'W10'!F316,ROUND(('R10'!P23/'W10'!$E$5*'W10'!$E$9*(IF('R10'!$D51='W10'!$A$47,'W10'!F$47,IF('R10'!$D51='W10'!$A$48,'W10'!F$48,IF('R10'!$D51='W10'!$A$49,'W10'!F$49,IF('R10'!$D51='W10'!$A$50,'W10'!F$50,IF('R10'!$D51='W10'!$A$51,'W10'!F$51,IF('R10'!$D51='W10'!$A$52,'W10'!F$52,IF('R10'!$D51='W10'!$A$53,'W10'!F$53,IF('R10'!$D51='W10'!$A$54,'W10'!F$54,IF('R10'!$D51='W10'!$A$55,'W10'!F$55))))))))))),0)+ROUND(P23/'W10'!$E$5*'W10'!$E$10*(IF('R10'!$D51='W10'!$A$47,'W10'!G$47,IF('R10'!$D51='W10'!$A$48,'W10'!G$48,IF('R10'!$D51='W10'!$A$49,'W10'!G$49,IF('R10'!$D51='W10'!$A$50,'W10'!G$50,IF('R10'!$D51='W10'!$A$51,'W10'!G$51,IF('R10'!$D51='W10'!$A$52,'W10'!G$52,IF('R10'!$D51='W10'!$A$53,'W10'!G$53,IF('R10'!$D51='W10'!$A$54,'W10'!G$54,IF('R10'!$D51='W10'!$A$55,'W10'!G$55)))))))))),0))))))))</f>
        <v>0</v>
      </c>
      <c r="Q51" s="187">
        <f ca="1">IF(Q23=0,0,IF(AND($D51="F-SMRA",Q23=0),0,IF(AND($D51="F-SMRB",Q23=0),0,IF(AND($D51="F-SMRC",Q23=0),0,IF($D51='W10'!$A$68,'W10'!H316,IF($D51='W10'!$A$69,'W10'!H316,IF($D51='W10'!$A$70,'W10'!H316,ROUND(('R10'!Q23/'W10'!$F$5*'W10'!$F$9*(IF('R10'!$D51='W10'!$A$47,'W10'!H$47,IF('R10'!$D51='W10'!$A$48,'W10'!H$48,IF('R10'!$D51='W10'!$A$49,'W10'!H$49,IF('R10'!$D51='W10'!$A$50,'W10'!H$50,IF('R10'!$D51='W10'!$A$51,'W10'!H$51,IF('R10'!$D51='W10'!$A$52,'W10'!H$52,IF('R10'!$D51='W10'!$A$53,'W10'!H$53,IF('R10'!$D51='W10'!$A$54,'W10'!H$54,IF('R10'!$D51='W10'!$A$55,'W10'!H$55))))))))))),0)+ROUND(Q23/'W10'!$F$5*'W10'!$F$10*(IF('R10'!$D51='W10'!$A$47,'W10'!I$47,IF('R10'!$D51='W10'!$A$48,'W10'!I$48,IF('R10'!$D51='W10'!$A$49,'W10'!I$49,IF('R10'!$D51='W10'!$A$50,'W10'!I$50,IF('R10'!$D51='W10'!$A$51,'W10'!I$51,IF('R10'!$D51='W10'!$A$52,'W10'!I$52,IF('R10'!$D51='W10'!$A$53,'W10'!I$53,IF('R10'!$D51='W10'!$A$54,'W10'!I$54,IF('R10'!$D51='W10'!$A$55,'W10'!I$55)))))))))),0))))))))</f>
        <v>0</v>
      </c>
      <c r="R51" s="187">
        <f ca="1">IF(R23=0,0,IF(AND($D51="F-SMRA",R23=0),0,IF(AND($D51="F-SMRB",R23=0),0,IF(AND($D51="F-SMRC",R23=0),0,IF($D51='W10'!$A$68,'W10'!J316,IF($D51='W10'!$A$69,'W10'!J316,IF($D51='W10'!$A$70,'W10'!J316,ROUND(('R10'!R23/'W10'!$G$5*'W10'!$G$9*(IF('R10'!$D51='W10'!$A$47,'W10'!J$47,IF('R10'!$D51='W10'!$A$48,'W10'!J$48,IF('R10'!$D51='W10'!$A$49,'W10'!J$49,IF('R10'!$D51='W10'!$A$50,'W10'!J$50,IF('R10'!$D51='W10'!$A$51,'W10'!J$51,IF('R10'!$D51='W10'!$A$52,'W10'!J$52,IF('R10'!$D51='W10'!$A$53,'W10'!J$53,IF('R10'!$D51='W10'!$A$54,'W10'!J$54,IF('R10'!$D51='W10'!$A$55,'W10'!J$55))))))))))),0)+ROUND(R23/'W10'!$G$5*'W10'!$G$10*(IF('R10'!$D51='W10'!$A$47,'W10'!K$47,IF('R10'!$D51='W10'!$A$48,'W10'!K$48,IF('R10'!$D51='W10'!$A$49,'W10'!K$49,IF('R10'!$D51='W10'!$A$50,'W10'!K$50,IF('R10'!$D51='W10'!$A$51,'W10'!K$51,IF('R10'!$D51='W10'!$A$52,'W10'!K$52,IF('R10'!$D51='W10'!$A$53,'W10'!K$53,IF('R10'!$D51='W10'!$A$54,'W10'!K$54,IF('R10'!$D51='W10'!$A$55,'W10'!K$55)))))))))),0))))))))</f>
        <v>0</v>
      </c>
      <c r="S51" s="187">
        <f t="shared" ca="1" si="3"/>
        <v>0</v>
      </c>
      <c r="T51" s="248"/>
      <c r="U51" s="248"/>
      <c r="V51" s="248"/>
      <c r="W51" s="248"/>
      <c r="X51" s="248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</row>
    <row r="52" spans="1:51" hidden="1" x14ac:dyDescent="0.2">
      <c r="A52" s="92">
        <v>17</v>
      </c>
      <c r="B52" s="381">
        <f t="shared" si="2"/>
        <v>0</v>
      </c>
      <c r="C52" s="382"/>
      <c r="D52" s="199" t="s">
        <v>52</v>
      </c>
      <c r="E52" s="265" t="str">
        <f>IF($D52='W10'!$A$59,'W10'!B$59,IF($D52='W10'!$A$60,'W10'!B$60,IF($D52='W10'!$A$61,'W10'!B$61,IF($D52='W10'!$A$62,'W10'!B$62,IF($D52='W10'!$A$63,'W10'!B$63,IF($D52='W10'!$A$64,'W10'!B$64,IF($D52='W10'!$A$65,'W10'!B$65,IF($D52='W10'!$A$66,'W10'!B$66,IF($D52='W10'!$A$67,'W10'!B$67,IF($D52='W10'!$A$68,'W10'!B291,IF($D52='W10'!$A$69,'W10'!B291,IF($D52='W10'!$A$70,'W10'!B291,IF($D52='W10'!$A$71,"")))))))))))))</f>
        <v/>
      </c>
      <c r="F52" s="378" t="str">
        <f>IF($D52='W10'!$A$59,'W10'!C$59,IF($D52='W10'!$A$60,'W10'!C$60,IF($D52='W10'!$A$61,'W10'!C$61,IF($D52='W10'!$A$62,'W10'!C$62,IF($D52='W10'!$A$63,'W10'!C$63,IF($D52='W10'!$A$64,'W10'!C$64,IF($D52='W10'!$A$65,'W10'!C$65,IF($D52='W10'!$A$66,'W10'!C$66,IF($D52='W10'!$A$67,'W10'!C$67,IF($D52='W10'!$A$68,'W10'!D291,IF($D52='W10'!$A$69,'W10'!D291,IF($D52='W10'!$A$70,'W10'!D291,IF($D52='W10'!$A$71,"")))))))))))))</f>
        <v/>
      </c>
      <c r="G52" s="379"/>
      <c r="H52" s="366" t="str">
        <f>IF($D52='W10'!$A$59,'W10'!D$59,IF($D52='W10'!$A$60,'W10'!D$60,IF($D52='W10'!$A$61,'W10'!D$61,IF($D52='W10'!$A$62,'W10'!D$62,IF($D52='W10'!$A$63,'W10'!D$63,IF($D52='W10'!$A$64,'W10'!D$64,IF($D52='W10'!$A$65,'W10'!D$65,IF($D52='W10'!$A$66,'W10'!D$66,IF($D52='W10'!$A$67,'W10'!D$67,IF($D52='W10'!$A$68,'W10'!F291,IF($D52='W10'!$A$69,'W10'!F291,IF($D52='W10'!$A$70,'W10'!F291,IF($D52='W10'!$A$71,"")))))))))))))</f>
        <v/>
      </c>
      <c r="I52" s="367"/>
      <c r="J52" s="366" t="str">
        <f>IF($D52='W10'!$A$59,'W10'!E$59,IF($D52='W10'!$A$60,'W10'!E$60,IF($D52='W10'!$A$61,'W10'!E$61,IF($D52='W10'!$A$62,'W10'!E$62,IF($D52='W10'!$A$63,'W10'!E$63,IF($D52='W10'!$A$64,'W10'!E$64,IF($D52='W10'!$A$65,'W10'!E$65,IF($D52='W10'!$A$66,'W10'!E$66,IF($D52='W10'!$A$67,'W10'!E$67,IF($D52='W10'!$A$68,'W10'!H291,IF($D52='W10'!$A$69,'W10'!H291,IF($D52='W10'!$A$70,'W10'!H291,IF($D52='W10'!$A$71,"")))))))))))))</f>
        <v/>
      </c>
      <c r="K52" s="367"/>
      <c r="L52" s="366" t="str">
        <f>IF($D52='W10'!$A$59,'W10'!F$59,IF($D52='W10'!$A$60,'W10'!F$60,IF($D52='W10'!$A$61,'W10'!F$61,IF($D52='W10'!$A$62,'W10'!F$62,IF($D52='W10'!$A$63,'W10'!F$63,IF($D52='W10'!$A$64,'W10'!F$64,IF($D52='W10'!$A$65,'W10'!F$65,IF($D52='W10'!$A$66,'W10'!F$66,IF($D52='W10'!$A$67,'W10'!F$67,IF($D52='W10'!$A$68,'W10'!J291,IF($D52='W10'!$A$69,'W10'!J291,IF($D52='W10'!$A$70,'W10'!J291,IF($D52='W10'!$A$71,"")))))))))))))</f>
        <v/>
      </c>
      <c r="M52" s="367"/>
      <c r="N52" s="187">
        <f ca="1">IF(N24=0,0,IF(AND($D52="F-SMRA",N24=0),0,IF(AND($D52="F-SMRB",N24=0),0,IF(AND($D52="F-SMRC",N24=0),0,IF($D52='W10'!$A$68,'W10'!B317,IF($D52='W10'!$A$69,'W10'!B317,IF($D52='W10'!$A$70,'W10'!B317,ROUND(('R10'!N24/'W10'!$C$5*'W10'!$C$9*(IF('R10'!$D52='W10'!$A$47,'W10'!B$47,IF('R10'!$D52='W10'!$A$48,'W10'!B$48,IF('R10'!$D52='W10'!$A$49,'W10'!B$49,IF('R10'!$D52='W10'!$A$50,'W10'!B$50,IF('R10'!$D52='W10'!$A$51,'W10'!B$51,IF('R10'!$D52='W10'!$A$52,'W10'!B$52,IF('R10'!$D52='W10'!$A$53,'W10'!B$53,IF('R10'!$D52='W10'!$A$54,'W10'!B$54,IF('R10'!$D52='W10'!$A$55,'W10'!B$55))))))))))),0)+ROUND(N24/'W10'!$C$5*'W10'!$C$10*(IF('R10'!$D52='W10'!$A$47,'W10'!C$47,IF('R10'!$D52='W10'!$A$48,'W10'!C$48,IF('R10'!$D52='W10'!$A$49,'W10'!C$49,IF('R10'!$D52='W10'!$A$50,'W10'!C$50,IF('R10'!$D52='W10'!$A$51,'W10'!C$51,IF('R10'!$D52='W10'!$A$52,'W10'!C$52,IF('R10'!$D52='W10'!$A$53,'W10'!C$53,IF('R10'!$D52='W10'!$A$54,'W10'!C$54,IF('R10'!$D52='W10'!$A$55,'W10'!C$55)))))))))),0))))))))</f>
        <v>0</v>
      </c>
      <c r="O52" s="187">
        <f ca="1">IF(O24=0,0,IF(AND($D52="F-SMRA",O24=0),0,IF(AND($D52="F-SMRB",O24=0),0,IF(AND($D52="F-SMRC",O24=0),0,IF($D52='W10'!$A$68,'W10'!D317,IF($D52='W10'!$A$69,'W10'!D317,IF($D52='W10'!$A$70,'W10'!D317,ROUND(('R10'!O24/'W10'!$D$5*'W10'!$D$9*(IF('R10'!$D52='W10'!$A$47,'W10'!D$47,IF('R10'!$D52='W10'!$A$48,'W10'!D$48,IF('R10'!$D52='W10'!$A$49,'W10'!D$49,IF('R10'!$D52='W10'!$A$50,'W10'!D$50,IF('R10'!$D52='W10'!$A$51,'W10'!D$51,IF('R10'!$D52='W10'!$A$52,'W10'!D$52,IF('R10'!$D52='W10'!$A$53,'W10'!D$53,IF('R10'!$D52='W10'!$A$54,'W10'!D$54,IF('R10'!$D52='W10'!$A$55,'W10'!D$55))))))))))),0)+ROUND(O24/'W10'!$D$5*'W10'!$D$10*(IF('R10'!$D52='W10'!$A$47,'W10'!E$47,IF('R10'!$D52='W10'!$A$48,'W10'!E$48,IF('R10'!$D52='W10'!$A$49,'W10'!E$49,IF('R10'!$D52='W10'!$A$50,'W10'!E$50,IF('R10'!$D52='W10'!$A$51,'W10'!E$51,IF('R10'!$D52='W10'!$A$52,'W10'!E$52,IF('R10'!$D52='W10'!$A$53,'W10'!E$53,IF('R10'!$D52='W10'!$A$54,'W10'!E$54,IF('R10'!$D52='W10'!$A$55,'W10'!E$55)))))))))),0))))))))</f>
        <v>0</v>
      </c>
      <c r="P52" s="187">
        <f ca="1">IF(P24=0,0,IF(AND($D52="F-SMRA",P24=0),0,IF(AND($D52="F-SMRB",P24=0),0,IF(AND($D52="F-SMRC",P24=0),0,IF($D52='W10'!$A$68,'W10'!F317,IF($D52='W10'!$A$69,'W10'!F317,IF($D52='W10'!$A$70,'W10'!F317,ROUND(('R10'!P24/'W10'!$E$5*'W10'!$E$9*(IF('R10'!$D52='W10'!$A$47,'W10'!F$47,IF('R10'!$D52='W10'!$A$48,'W10'!F$48,IF('R10'!$D52='W10'!$A$49,'W10'!F$49,IF('R10'!$D52='W10'!$A$50,'W10'!F$50,IF('R10'!$D52='W10'!$A$51,'W10'!F$51,IF('R10'!$D52='W10'!$A$52,'W10'!F$52,IF('R10'!$D52='W10'!$A$53,'W10'!F$53,IF('R10'!$D52='W10'!$A$54,'W10'!F$54,IF('R10'!$D52='W10'!$A$55,'W10'!F$55))))))))))),0)+ROUND(P24/'W10'!$E$5*'W10'!$E$10*(IF('R10'!$D52='W10'!$A$47,'W10'!G$47,IF('R10'!$D52='W10'!$A$48,'W10'!G$48,IF('R10'!$D52='W10'!$A$49,'W10'!G$49,IF('R10'!$D52='W10'!$A$50,'W10'!G$50,IF('R10'!$D52='W10'!$A$51,'W10'!G$51,IF('R10'!$D52='W10'!$A$52,'W10'!G$52,IF('R10'!$D52='W10'!$A$53,'W10'!G$53,IF('R10'!$D52='W10'!$A$54,'W10'!G$54,IF('R10'!$D52='W10'!$A$55,'W10'!G$55)))))))))),0))))))))</f>
        <v>0</v>
      </c>
      <c r="Q52" s="187">
        <f ca="1">IF(Q24=0,0,IF(AND($D52="F-SMRA",Q24=0),0,IF(AND($D52="F-SMRB",Q24=0),0,IF(AND($D52="F-SMRC",Q24=0),0,IF($D52='W10'!$A$68,'W10'!H317,IF($D52='W10'!$A$69,'W10'!H317,IF($D52='W10'!$A$70,'W10'!H317,ROUND(('R10'!Q24/'W10'!$F$5*'W10'!$F$9*(IF('R10'!$D52='W10'!$A$47,'W10'!H$47,IF('R10'!$D52='W10'!$A$48,'W10'!H$48,IF('R10'!$D52='W10'!$A$49,'W10'!H$49,IF('R10'!$D52='W10'!$A$50,'W10'!H$50,IF('R10'!$D52='W10'!$A$51,'W10'!H$51,IF('R10'!$D52='W10'!$A$52,'W10'!H$52,IF('R10'!$D52='W10'!$A$53,'W10'!H$53,IF('R10'!$D52='W10'!$A$54,'W10'!H$54,IF('R10'!$D52='W10'!$A$55,'W10'!H$55))))))))))),0)+ROUND(Q24/'W10'!$F$5*'W10'!$F$10*(IF('R10'!$D52='W10'!$A$47,'W10'!I$47,IF('R10'!$D52='W10'!$A$48,'W10'!I$48,IF('R10'!$D52='W10'!$A$49,'W10'!I$49,IF('R10'!$D52='W10'!$A$50,'W10'!I$50,IF('R10'!$D52='W10'!$A$51,'W10'!I$51,IF('R10'!$D52='W10'!$A$52,'W10'!I$52,IF('R10'!$D52='W10'!$A$53,'W10'!I$53,IF('R10'!$D52='W10'!$A$54,'W10'!I$54,IF('R10'!$D52='W10'!$A$55,'W10'!I$55)))))))))),0))))))))</f>
        <v>0</v>
      </c>
      <c r="R52" s="187">
        <f ca="1">IF(R24=0,0,IF(AND($D52="F-SMRA",R24=0),0,IF(AND($D52="F-SMRB",R24=0),0,IF(AND($D52="F-SMRC",R24=0),0,IF($D52='W10'!$A$68,'W10'!J317,IF($D52='W10'!$A$69,'W10'!J317,IF($D52='W10'!$A$70,'W10'!J317,ROUND(('R10'!R24/'W10'!$G$5*'W10'!$G$9*(IF('R10'!$D52='W10'!$A$47,'W10'!J$47,IF('R10'!$D52='W10'!$A$48,'W10'!J$48,IF('R10'!$D52='W10'!$A$49,'W10'!J$49,IF('R10'!$D52='W10'!$A$50,'W10'!J$50,IF('R10'!$D52='W10'!$A$51,'W10'!J$51,IF('R10'!$D52='W10'!$A$52,'W10'!J$52,IF('R10'!$D52='W10'!$A$53,'W10'!J$53,IF('R10'!$D52='W10'!$A$54,'W10'!J$54,IF('R10'!$D52='W10'!$A$55,'W10'!J$55))))))))))),0)+ROUND(R24/'W10'!$G$5*'W10'!$G$10*(IF('R10'!$D52='W10'!$A$47,'W10'!K$47,IF('R10'!$D52='W10'!$A$48,'W10'!K$48,IF('R10'!$D52='W10'!$A$49,'W10'!K$49,IF('R10'!$D52='W10'!$A$50,'W10'!K$50,IF('R10'!$D52='W10'!$A$51,'W10'!K$51,IF('R10'!$D52='W10'!$A$52,'W10'!K$52,IF('R10'!$D52='W10'!$A$53,'W10'!K$53,IF('R10'!$D52='W10'!$A$54,'W10'!K$54,IF('R10'!$D52='W10'!$A$55,'W10'!K$55)))))))))),0))))))))</f>
        <v>0</v>
      </c>
      <c r="S52" s="187">
        <f t="shared" ca="1" si="3"/>
        <v>0</v>
      </c>
      <c r="T52" s="248"/>
      <c r="U52" s="248"/>
      <c r="V52" s="248"/>
      <c r="W52" s="248"/>
      <c r="X52" s="248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</row>
    <row r="53" spans="1:51" hidden="1" x14ac:dyDescent="0.2">
      <c r="A53" s="92">
        <v>18</v>
      </c>
      <c r="B53" s="381">
        <f t="shared" si="2"/>
        <v>0</v>
      </c>
      <c r="C53" s="382"/>
      <c r="D53" s="199" t="s">
        <v>52</v>
      </c>
      <c r="E53" s="265" t="str">
        <f>IF($D53='W10'!$A$59,'W10'!B$59,IF($D53='W10'!$A$60,'W10'!B$60,IF($D53='W10'!$A$61,'W10'!B$61,IF($D53='W10'!$A$62,'W10'!B$62,IF($D53='W10'!$A$63,'W10'!B$63,IF($D53='W10'!$A$64,'W10'!B$64,IF($D53='W10'!$A$65,'W10'!B$65,IF($D53='W10'!$A$66,'W10'!B$66,IF($D53='W10'!$A$67,'W10'!B$67,IF($D53='W10'!$A$68,'W10'!B292,IF($D53='W10'!$A$69,'W10'!B292,IF($D53='W10'!$A$70,'W10'!B292,IF($D53='W10'!$A$71,"")))))))))))))</f>
        <v/>
      </c>
      <c r="F53" s="378" t="str">
        <f>IF($D53='W10'!$A$59,'W10'!C$59,IF($D53='W10'!$A$60,'W10'!C$60,IF($D53='W10'!$A$61,'W10'!C$61,IF($D53='W10'!$A$62,'W10'!C$62,IF($D53='W10'!$A$63,'W10'!C$63,IF($D53='W10'!$A$64,'W10'!C$64,IF($D53='W10'!$A$65,'W10'!C$65,IF($D53='W10'!$A$66,'W10'!C$66,IF($D53='W10'!$A$67,'W10'!C$67,IF($D53='W10'!$A$68,'W10'!D292,IF($D53='W10'!$A$69,'W10'!D292,IF($D53='W10'!$A$70,'W10'!D292,IF($D53='W10'!$A$71,"")))))))))))))</f>
        <v/>
      </c>
      <c r="G53" s="379"/>
      <c r="H53" s="366" t="str">
        <f>IF($D53='W10'!$A$59,'W10'!D$59,IF($D53='W10'!$A$60,'W10'!D$60,IF($D53='W10'!$A$61,'W10'!D$61,IF($D53='W10'!$A$62,'W10'!D$62,IF($D53='W10'!$A$63,'W10'!D$63,IF($D53='W10'!$A$64,'W10'!D$64,IF($D53='W10'!$A$65,'W10'!D$65,IF($D53='W10'!$A$66,'W10'!D$66,IF($D53='W10'!$A$67,'W10'!D$67,IF($D53='W10'!$A$68,'W10'!F292,IF($D53='W10'!$A$69,'W10'!F292,IF($D53='W10'!$A$70,'W10'!F292,IF($D53='W10'!$A$71,"")))))))))))))</f>
        <v/>
      </c>
      <c r="I53" s="367"/>
      <c r="J53" s="366" t="str">
        <f>IF($D53='W10'!$A$59,'W10'!E$59,IF($D53='W10'!$A$60,'W10'!E$60,IF($D53='W10'!$A$61,'W10'!E$61,IF($D53='W10'!$A$62,'W10'!E$62,IF($D53='W10'!$A$63,'W10'!E$63,IF($D53='W10'!$A$64,'W10'!E$64,IF($D53='W10'!$A$65,'W10'!E$65,IF($D53='W10'!$A$66,'W10'!E$66,IF($D53='W10'!$A$67,'W10'!E$67,IF($D53='W10'!$A$68,'W10'!H292,IF($D53='W10'!$A$69,'W10'!H292,IF($D53='W10'!$A$70,'W10'!H292,IF($D53='W10'!$A$71,"")))))))))))))</f>
        <v/>
      </c>
      <c r="K53" s="367"/>
      <c r="L53" s="366" t="str">
        <f>IF($D53='W10'!$A$59,'W10'!F$59,IF($D53='W10'!$A$60,'W10'!F$60,IF($D53='W10'!$A$61,'W10'!F$61,IF($D53='W10'!$A$62,'W10'!F$62,IF($D53='W10'!$A$63,'W10'!F$63,IF($D53='W10'!$A$64,'W10'!F$64,IF($D53='W10'!$A$65,'W10'!F$65,IF($D53='W10'!$A$66,'W10'!F$66,IF($D53='W10'!$A$67,'W10'!F$67,IF($D53='W10'!$A$68,'W10'!J292,IF($D53='W10'!$A$69,'W10'!J292,IF($D53='W10'!$A$70,'W10'!J292,IF($D53='W10'!$A$71,"")))))))))))))</f>
        <v/>
      </c>
      <c r="M53" s="367"/>
      <c r="N53" s="187">
        <f ca="1">IF(N25=0,0,IF(AND($D53="F-SMRA",N25=0),0,IF(AND($D53="F-SMRB",N25=0),0,IF(AND($D53="F-SMRC",N25=0),0,IF($D53='W10'!$A$68,'W10'!B318,IF($D53='W10'!$A$69,'W10'!B318,IF($D53='W10'!$A$70,'W10'!B318,ROUND(('R10'!N25/'W10'!$C$5*'W10'!$C$9*(IF('R10'!$D53='W10'!$A$47,'W10'!B$47,IF('R10'!$D53='W10'!$A$48,'W10'!B$48,IF('R10'!$D53='W10'!$A$49,'W10'!B$49,IF('R10'!$D53='W10'!$A$50,'W10'!B$50,IF('R10'!$D53='W10'!$A$51,'W10'!B$51,IF('R10'!$D53='W10'!$A$52,'W10'!B$52,IF('R10'!$D53='W10'!$A$53,'W10'!B$53,IF('R10'!$D53='W10'!$A$54,'W10'!B$54,IF('R10'!$D53='W10'!$A$55,'W10'!B$55))))))))))),0)+ROUND(N25/'W10'!$C$5*'W10'!$C$10*(IF('R10'!$D53='W10'!$A$47,'W10'!C$47,IF('R10'!$D53='W10'!$A$48,'W10'!C$48,IF('R10'!$D53='W10'!$A$49,'W10'!C$49,IF('R10'!$D53='W10'!$A$50,'W10'!C$50,IF('R10'!$D53='W10'!$A$51,'W10'!C$51,IF('R10'!$D53='W10'!$A$52,'W10'!C$52,IF('R10'!$D53='W10'!$A$53,'W10'!C$53,IF('R10'!$D53='W10'!$A$54,'W10'!C$54,IF('R10'!$D53='W10'!$A$55,'W10'!C$55)))))))))),0))))))))</f>
        <v>0</v>
      </c>
      <c r="O53" s="187">
        <f ca="1">IF(O25=0,0,IF(AND($D53="F-SMRA",O25=0),0,IF(AND($D53="F-SMRB",O25=0),0,IF(AND($D53="F-SMRC",O25=0),0,IF($D53='W10'!$A$68,'W10'!D318,IF($D53='W10'!$A$69,'W10'!D318,IF($D53='W10'!$A$70,'W10'!D318,ROUND(('R10'!O25/'W10'!$D$5*'W10'!$D$9*(IF('R10'!$D53='W10'!$A$47,'W10'!D$47,IF('R10'!$D53='W10'!$A$48,'W10'!D$48,IF('R10'!$D53='W10'!$A$49,'W10'!D$49,IF('R10'!$D53='W10'!$A$50,'W10'!D$50,IF('R10'!$D53='W10'!$A$51,'W10'!D$51,IF('R10'!$D53='W10'!$A$52,'W10'!D$52,IF('R10'!$D53='W10'!$A$53,'W10'!D$53,IF('R10'!$D53='W10'!$A$54,'W10'!D$54,IF('R10'!$D53='W10'!$A$55,'W10'!D$55))))))))))),0)+ROUND(O25/'W10'!$D$5*'W10'!$D$10*(IF('R10'!$D53='W10'!$A$47,'W10'!E$47,IF('R10'!$D53='W10'!$A$48,'W10'!E$48,IF('R10'!$D53='W10'!$A$49,'W10'!E$49,IF('R10'!$D53='W10'!$A$50,'W10'!E$50,IF('R10'!$D53='W10'!$A$51,'W10'!E$51,IF('R10'!$D53='W10'!$A$52,'W10'!E$52,IF('R10'!$D53='W10'!$A$53,'W10'!E$53,IF('R10'!$D53='W10'!$A$54,'W10'!E$54,IF('R10'!$D53='W10'!$A$55,'W10'!E$55)))))))))),0))))))))</f>
        <v>0</v>
      </c>
      <c r="P53" s="187">
        <f ca="1">IF(P25=0,0,IF(AND($D53="F-SMRA",P25=0),0,IF(AND($D53="F-SMRB",P25=0),0,IF(AND($D53="F-SMRC",P25=0),0,IF($D53='W10'!$A$68,'W10'!F318,IF($D53='W10'!$A$69,'W10'!F318,IF($D53='W10'!$A$70,'W10'!F318,ROUND(('R10'!P25/'W10'!$E$5*'W10'!$E$9*(IF('R10'!$D53='W10'!$A$47,'W10'!F$47,IF('R10'!$D53='W10'!$A$48,'W10'!F$48,IF('R10'!$D53='W10'!$A$49,'W10'!F$49,IF('R10'!$D53='W10'!$A$50,'W10'!F$50,IF('R10'!$D53='W10'!$A$51,'W10'!F$51,IF('R10'!$D53='W10'!$A$52,'W10'!F$52,IF('R10'!$D53='W10'!$A$53,'W10'!F$53,IF('R10'!$D53='W10'!$A$54,'W10'!F$54,IF('R10'!$D53='W10'!$A$55,'W10'!F$55))))))))))),0)+ROUND(P25/'W10'!$E$5*'W10'!$E$10*(IF('R10'!$D53='W10'!$A$47,'W10'!G$47,IF('R10'!$D53='W10'!$A$48,'W10'!G$48,IF('R10'!$D53='W10'!$A$49,'W10'!G$49,IF('R10'!$D53='W10'!$A$50,'W10'!G$50,IF('R10'!$D53='W10'!$A$51,'W10'!G$51,IF('R10'!$D53='W10'!$A$52,'W10'!G$52,IF('R10'!$D53='W10'!$A$53,'W10'!G$53,IF('R10'!$D53='W10'!$A$54,'W10'!G$54,IF('R10'!$D53='W10'!$A$55,'W10'!G$55)))))))))),0))))))))</f>
        <v>0</v>
      </c>
      <c r="Q53" s="187">
        <f ca="1">IF(Q25=0,0,IF(AND($D53="F-SMRA",Q25=0),0,IF(AND($D53="F-SMRB",Q25=0),0,IF(AND($D53="F-SMRC",Q25=0),0,IF($D53='W10'!$A$68,'W10'!H318,IF($D53='W10'!$A$69,'W10'!H318,IF($D53='W10'!$A$70,'W10'!H318,ROUND(('R10'!Q25/'W10'!$F$5*'W10'!$F$9*(IF('R10'!$D53='W10'!$A$47,'W10'!H$47,IF('R10'!$D53='W10'!$A$48,'W10'!H$48,IF('R10'!$D53='W10'!$A$49,'W10'!H$49,IF('R10'!$D53='W10'!$A$50,'W10'!H$50,IF('R10'!$D53='W10'!$A$51,'W10'!H$51,IF('R10'!$D53='W10'!$A$52,'W10'!H$52,IF('R10'!$D53='W10'!$A$53,'W10'!H$53,IF('R10'!$D53='W10'!$A$54,'W10'!H$54,IF('R10'!$D53='W10'!$A$55,'W10'!H$55))))))))))),0)+ROUND(Q25/'W10'!$F$5*'W10'!$F$10*(IF('R10'!$D53='W10'!$A$47,'W10'!I$47,IF('R10'!$D53='W10'!$A$48,'W10'!I$48,IF('R10'!$D53='W10'!$A$49,'W10'!I$49,IF('R10'!$D53='W10'!$A$50,'W10'!I$50,IF('R10'!$D53='W10'!$A$51,'W10'!I$51,IF('R10'!$D53='W10'!$A$52,'W10'!I$52,IF('R10'!$D53='W10'!$A$53,'W10'!I$53,IF('R10'!$D53='W10'!$A$54,'W10'!I$54,IF('R10'!$D53='W10'!$A$55,'W10'!I$55)))))))))),0))))))))</f>
        <v>0</v>
      </c>
      <c r="R53" s="187">
        <f ca="1">IF(R25=0,0,IF(AND($D53="F-SMRA",R25=0),0,IF(AND($D53="F-SMRB",R25=0),0,IF(AND($D53="F-SMRC",R25=0),0,IF($D53='W10'!$A$68,'W10'!J318,IF($D53='W10'!$A$69,'W10'!J318,IF($D53='W10'!$A$70,'W10'!J318,ROUND(('R10'!R25/'W10'!$G$5*'W10'!$G$9*(IF('R10'!$D53='W10'!$A$47,'W10'!J$47,IF('R10'!$D53='W10'!$A$48,'W10'!J$48,IF('R10'!$D53='W10'!$A$49,'W10'!J$49,IF('R10'!$D53='W10'!$A$50,'W10'!J$50,IF('R10'!$D53='W10'!$A$51,'W10'!J$51,IF('R10'!$D53='W10'!$A$52,'W10'!J$52,IF('R10'!$D53='W10'!$A$53,'W10'!J$53,IF('R10'!$D53='W10'!$A$54,'W10'!J$54,IF('R10'!$D53='W10'!$A$55,'W10'!J$55))))))))))),0)+ROUND(R25/'W10'!$G$5*'W10'!$G$10*(IF('R10'!$D53='W10'!$A$47,'W10'!K$47,IF('R10'!$D53='W10'!$A$48,'W10'!K$48,IF('R10'!$D53='W10'!$A$49,'W10'!K$49,IF('R10'!$D53='W10'!$A$50,'W10'!K$50,IF('R10'!$D53='W10'!$A$51,'W10'!K$51,IF('R10'!$D53='W10'!$A$52,'W10'!K$52,IF('R10'!$D53='W10'!$A$53,'W10'!K$53,IF('R10'!$D53='W10'!$A$54,'W10'!K$54,IF('R10'!$D53='W10'!$A$55,'W10'!K$55)))))))))),0))))))))</f>
        <v>0</v>
      </c>
      <c r="S53" s="187">
        <f t="shared" ca="1" si="3"/>
        <v>0</v>
      </c>
      <c r="T53" s="248"/>
      <c r="U53" s="248"/>
      <c r="V53" s="248"/>
      <c r="W53" s="248"/>
      <c r="X53" s="248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</row>
    <row r="54" spans="1:51" hidden="1" x14ac:dyDescent="0.2">
      <c r="A54" s="92">
        <v>19</v>
      </c>
      <c r="B54" s="381">
        <f t="shared" si="2"/>
        <v>0</v>
      </c>
      <c r="C54" s="382"/>
      <c r="D54" s="199" t="s">
        <v>52</v>
      </c>
      <c r="E54" s="265" t="str">
        <f>IF($D54='W10'!$A$59,'W10'!B$59,IF($D54='W10'!$A$60,'W10'!B$60,IF($D54='W10'!$A$61,'W10'!B$61,IF($D54='W10'!$A$62,'W10'!B$62,IF($D54='W10'!$A$63,'W10'!B$63,IF($D54='W10'!$A$64,'W10'!B$64,IF($D54='W10'!$A$65,'W10'!B$65,IF($D54='W10'!$A$66,'W10'!B$66,IF($D54='W10'!$A$67,'W10'!B$67,IF($D54='W10'!$A$68,'W10'!B293,IF($D54='W10'!$A$69,'W10'!B293,IF($D54='W10'!$A$70,'W10'!B293,IF($D54='W10'!$A$71,"")))))))))))))</f>
        <v/>
      </c>
      <c r="F54" s="378" t="str">
        <f>IF($D54='W10'!$A$59,'W10'!C$59,IF($D54='W10'!$A$60,'W10'!C$60,IF($D54='W10'!$A$61,'W10'!C$61,IF($D54='W10'!$A$62,'W10'!C$62,IF($D54='W10'!$A$63,'W10'!C$63,IF($D54='W10'!$A$64,'W10'!C$64,IF($D54='W10'!$A$65,'W10'!C$65,IF($D54='W10'!$A$66,'W10'!C$66,IF($D54='W10'!$A$67,'W10'!C$67,IF($D54='W10'!$A$68,'W10'!D293,IF($D54='W10'!$A$69,'W10'!D293,IF($D54='W10'!$A$70,'W10'!D293,IF($D54='W10'!$A$71,"")))))))))))))</f>
        <v/>
      </c>
      <c r="G54" s="379"/>
      <c r="H54" s="366" t="str">
        <f>IF($D54='W10'!$A$59,'W10'!D$59,IF($D54='W10'!$A$60,'W10'!D$60,IF($D54='W10'!$A$61,'W10'!D$61,IF($D54='W10'!$A$62,'W10'!D$62,IF($D54='W10'!$A$63,'W10'!D$63,IF($D54='W10'!$A$64,'W10'!D$64,IF($D54='W10'!$A$65,'W10'!D$65,IF($D54='W10'!$A$66,'W10'!D$66,IF($D54='W10'!$A$67,'W10'!D$67,IF($D54='W10'!$A$68,'W10'!F293,IF($D54='W10'!$A$69,'W10'!F293,IF($D54='W10'!$A$70,'W10'!F293,IF($D54='W10'!$A$71,"")))))))))))))</f>
        <v/>
      </c>
      <c r="I54" s="367"/>
      <c r="J54" s="366" t="str">
        <f>IF($D54='W10'!$A$59,'W10'!E$59,IF($D54='W10'!$A$60,'W10'!E$60,IF($D54='W10'!$A$61,'W10'!E$61,IF($D54='W10'!$A$62,'W10'!E$62,IF($D54='W10'!$A$63,'W10'!E$63,IF($D54='W10'!$A$64,'W10'!E$64,IF($D54='W10'!$A$65,'W10'!E$65,IF($D54='W10'!$A$66,'W10'!E$66,IF($D54='W10'!$A$67,'W10'!E$67,IF($D54='W10'!$A$68,'W10'!H293,IF($D54='W10'!$A$69,'W10'!H293,IF($D54='W10'!$A$70,'W10'!H293,IF($D54='W10'!$A$71,"")))))))))))))</f>
        <v/>
      </c>
      <c r="K54" s="367"/>
      <c r="L54" s="366" t="str">
        <f>IF($D54='W10'!$A$59,'W10'!F$59,IF($D54='W10'!$A$60,'W10'!F$60,IF($D54='W10'!$A$61,'W10'!F$61,IF($D54='W10'!$A$62,'W10'!F$62,IF($D54='W10'!$A$63,'W10'!F$63,IF($D54='W10'!$A$64,'W10'!F$64,IF($D54='W10'!$A$65,'W10'!F$65,IF($D54='W10'!$A$66,'W10'!F$66,IF($D54='W10'!$A$67,'W10'!F$67,IF($D54='W10'!$A$68,'W10'!J293,IF($D54='W10'!$A$69,'W10'!J293,IF($D54='W10'!$A$70,'W10'!J293,IF($D54='W10'!$A$71,"")))))))))))))</f>
        <v/>
      </c>
      <c r="M54" s="367"/>
      <c r="N54" s="187">
        <f ca="1">IF(N26=0,0,IF(AND($D54="F-SMRA",N26=0),0,IF(AND($D54="F-SMRB",N26=0),0,IF(AND($D54="F-SMRC",N26=0),0,IF($D54='W10'!$A$68,'W10'!B319,IF($D54='W10'!$A$69,'W10'!B319,IF($D54='W10'!$A$70,'W10'!B319,ROUND(('R10'!N26/'W10'!$C$5*'W10'!$C$9*(IF('R10'!$D54='W10'!$A$47,'W10'!B$47,IF('R10'!$D54='W10'!$A$48,'W10'!B$48,IF('R10'!$D54='W10'!$A$49,'W10'!B$49,IF('R10'!$D54='W10'!$A$50,'W10'!B$50,IF('R10'!$D54='W10'!$A$51,'W10'!B$51,IF('R10'!$D54='W10'!$A$52,'W10'!B$52,IF('R10'!$D54='W10'!$A$53,'W10'!B$53,IF('R10'!$D54='W10'!$A$54,'W10'!B$54,IF('R10'!$D54='W10'!$A$55,'W10'!B$55))))))))))),0)+ROUND(N26/'W10'!$C$5*'W10'!$C$10*(IF('R10'!$D54='W10'!$A$47,'W10'!C$47,IF('R10'!$D54='W10'!$A$48,'W10'!C$48,IF('R10'!$D54='W10'!$A$49,'W10'!C$49,IF('R10'!$D54='W10'!$A$50,'W10'!C$50,IF('R10'!$D54='W10'!$A$51,'W10'!C$51,IF('R10'!$D54='W10'!$A$52,'W10'!C$52,IF('R10'!$D54='W10'!$A$53,'W10'!C$53,IF('R10'!$D54='W10'!$A$54,'W10'!C$54,IF('R10'!$D54='W10'!$A$55,'W10'!C$55)))))))))),0))))))))</f>
        <v>0</v>
      </c>
      <c r="O54" s="187">
        <f ca="1">IF(O26=0,0,IF(AND($D54="F-SMRA",O26=0),0,IF(AND($D54="F-SMRB",O26=0),0,IF(AND($D54="F-SMRC",O26=0),0,IF($D54='W10'!$A$68,'W10'!D319,IF($D54='W10'!$A$69,'W10'!D319,IF($D54='W10'!$A$70,'W10'!D319,ROUND(('R10'!O26/'W10'!$D$5*'W10'!$D$9*(IF('R10'!$D54='W10'!$A$47,'W10'!D$47,IF('R10'!$D54='W10'!$A$48,'W10'!D$48,IF('R10'!$D54='W10'!$A$49,'W10'!D$49,IF('R10'!$D54='W10'!$A$50,'W10'!D$50,IF('R10'!$D54='W10'!$A$51,'W10'!D$51,IF('R10'!$D54='W10'!$A$52,'W10'!D$52,IF('R10'!$D54='W10'!$A$53,'W10'!D$53,IF('R10'!$D54='W10'!$A$54,'W10'!D$54,IF('R10'!$D54='W10'!$A$55,'W10'!D$55))))))))))),0)+ROUND(O26/'W10'!$D$5*'W10'!$D$10*(IF('R10'!$D54='W10'!$A$47,'W10'!E$47,IF('R10'!$D54='W10'!$A$48,'W10'!E$48,IF('R10'!$D54='W10'!$A$49,'W10'!E$49,IF('R10'!$D54='W10'!$A$50,'W10'!E$50,IF('R10'!$D54='W10'!$A$51,'W10'!E$51,IF('R10'!$D54='W10'!$A$52,'W10'!E$52,IF('R10'!$D54='W10'!$A$53,'W10'!E$53,IF('R10'!$D54='W10'!$A$54,'W10'!E$54,IF('R10'!$D54='W10'!$A$55,'W10'!E$55)))))))))),0))))))))</f>
        <v>0</v>
      </c>
      <c r="P54" s="187">
        <f ca="1">IF(P26=0,0,IF(AND($D54="F-SMRA",P26=0),0,IF(AND($D54="F-SMRB",P26=0),0,IF(AND($D54="F-SMRC",P26=0),0,IF($D54='W10'!$A$68,'W10'!F319,IF($D54='W10'!$A$69,'W10'!F319,IF($D54='W10'!$A$70,'W10'!F319,ROUND(('R10'!P26/'W10'!$E$5*'W10'!$E$9*(IF('R10'!$D54='W10'!$A$47,'W10'!F$47,IF('R10'!$D54='W10'!$A$48,'W10'!F$48,IF('R10'!$D54='W10'!$A$49,'W10'!F$49,IF('R10'!$D54='W10'!$A$50,'W10'!F$50,IF('R10'!$D54='W10'!$A$51,'W10'!F$51,IF('R10'!$D54='W10'!$A$52,'W10'!F$52,IF('R10'!$D54='W10'!$A$53,'W10'!F$53,IF('R10'!$D54='W10'!$A$54,'W10'!F$54,IF('R10'!$D54='W10'!$A$55,'W10'!F$55))))))))))),0)+ROUND(P26/'W10'!$E$5*'W10'!$E$10*(IF('R10'!$D54='W10'!$A$47,'W10'!G$47,IF('R10'!$D54='W10'!$A$48,'W10'!G$48,IF('R10'!$D54='W10'!$A$49,'W10'!G$49,IF('R10'!$D54='W10'!$A$50,'W10'!G$50,IF('R10'!$D54='W10'!$A$51,'W10'!G$51,IF('R10'!$D54='W10'!$A$52,'W10'!G$52,IF('R10'!$D54='W10'!$A$53,'W10'!G$53,IF('R10'!$D54='W10'!$A$54,'W10'!G$54,IF('R10'!$D54='W10'!$A$55,'W10'!G$55)))))))))),0))))))))</f>
        <v>0</v>
      </c>
      <c r="Q54" s="187">
        <f ca="1">IF(Q26=0,0,IF(AND($D54="F-SMRA",Q26=0),0,IF(AND($D54="F-SMRB",Q26=0),0,IF(AND($D54="F-SMRC",Q26=0),0,IF($D54='W10'!$A$68,'W10'!H319,IF($D54='W10'!$A$69,'W10'!H319,IF($D54='W10'!$A$70,'W10'!H319,ROUND(('R10'!Q26/'W10'!$F$5*'W10'!$F$9*(IF('R10'!$D54='W10'!$A$47,'W10'!H$47,IF('R10'!$D54='W10'!$A$48,'W10'!H$48,IF('R10'!$D54='W10'!$A$49,'W10'!H$49,IF('R10'!$D54='W10'!$A$50,'W10'!H$50,IF('R10'!$D54='W10'!$A$51,'W10'!H$51,IF('R10'!$D54='W10'!$A$52,'W10'!H$52,IF('R10'!$D54='W10'!$A$53,'W10'!H$53,IF('R10'!$D54='W10'!$A$54,'W10'!H$54,IF('R10'!$D54='W10'!$A$55,'W10'!H$55))))))))))),0)+ROUND(Q26/'W10'!$F$5*'W10'!$F$10*(IF('R10'!$D54='W10'!$A$47,'W10'!I$47,IF('R10'!$D54='W10'!$A$48,'W10'!I$48,IF('R10'!$D54='W10'!$A$49,'W10'!I$49,IF('R10'!$D54='W10'!$A$50,'W10'!I$50,IF('R10'!$D54='W10'!$A$51,'W10'!I$51,IF('R10'!$D54='W10'!$A$52,'W10'!I$52,IF('R10'!$D54='W10'!$A$53,'W10'!I$53,IF('R10'!$D54='W10'!$A$54,'W10'!I$54,IF('R10'!$D54='W10'!$A$55,'W10'!I$55)))))))))),0))))))))</f>
        <v>0</v>
      </c>
      <c r="R54" s="187">
        <f ca="1">IF(R26=0,0,IF(AND($D54="F-SMRA",R26=0),0,IF(AND($D54="F-SMRB",R26=0),0,IF(AND($D54="F-SMRC",R26=0),0,IF($D54='W10'!$A$68,'W10'!J319,IF($D54='W10'!$A$69,'W10'!J319,IF($D54='W10'!$A$70,'W10'!J319,ROUND(('R10'!R26/'W10'!$G$5*'W10'!$G$9*(IF('R10'!$D54='W10'!$A$47,'W10'!J$47,IF('R10'!$D54='W10'!$A$48,'W10'!J$48,IF('R10'!$D54='W10'!$A$49,'W10'!J$49,IF('R10'!$D54='W10'!$A$50,'W10'!J$50,IF('R10'!$D54='W10'!$A$51,'W10'!J$51,IF('R10'!$D54='W10'!$A$52,'W10'!J$52,IF('R10'!$D54='W10'!$A$53,'W10'!J$53,IF('R10'!$D54='W10'!$A$54,'W10'!J$54,IF('R10'!$D54='W10'!$A$55,'W10'!J$55))))))))))),0)+ROUND(R26/'W10'!$G$5*'W10'!$G$10*(IF('R10'!$D54='W10'!$A$47,'W10'!K$47,IF('R10'!$D54='W10'!$A$48,'W10'!K$48,IF('R10'!$D54='W10'!$A$49,'W10'!K$49,IF('R10'!$D54='W10'!$A$50,'W10'!K$50,IF('R10'!$D54='W10'!$A$51,'W10'!K$51,IF('R10'!$D54='W10'!$A$52,'W10'!K$52,IF('R10'!$D54='W10'!$A$53,'W10'!K$53,IF('R10'!$D54='W10'!$A$54,'W10'!K$54,IF('R10'!$D54='W10'!$A$55,'W10'!K$55)))))))))),0))))))))</f>
        <v>0</v>
      </c>
      <c r="S54" s="187">
        <f t="shared" ca="1" si="3"/>
        <v>0</v>
      </c>
      <c r="T54" s="248"/>
      <c r="U54" s="248"/>
      <c r="V54" s="248"/>
      <c r="W54" s="248"/>
      <c r="X54" s="248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</row>
    <row r="55" spans="1:51" hidden="1" x14ac:dyDescent="0.2">
      <c r="A55" s="92">
        <v>20</v>
      </c>
      <c r="B55" s="381">
        <f t="shared" si="2"/>
        <v>0</v>
      </c>
      <c r="C55" s="382"/>
      <c r="D55" s="199" t="s">
        <v>52</v>
      </c>
      <c r="E55" s="265" t="str">
        <f>IF($D55='W10'!$A$59,'W10'!B$59,IF($D55='W10'!$A$60,'W10'!B$60,IF($D55='W10'!$A$61,'W10'!B$61,IF($D55='W10'!$A$62,'W10'!B$62,IF($D55='W10'!$A$63,'W10'!B$63,IF($D55='W10'!$A$64,'W10'!B$64,IF($D55='W10'!$A$65,'W10'!B$65,IF($D55='W10'!$A$66,'W10'!B$66,IF($D55='W10'!$A$67,'W10'!B$67,IF($D55='W10'!$A$68,'W10'!B294,IF($D55='W10'!$A$69,'W10'!B294,IF($D55='W10'!$A$70,'W10'!B294,IF($D55='W10'!$A$71,"")))))))))))))</f>
        <v/>
      </c>
      <c r="F55" s="378" t="str">
        <f>IF($D55='W10'!$A$59,'W10'!C$59,IF($D55='W10'!$A$60,'W10'!C$60,IF($D55='W10'!$A$61,'W10'!C$61,IF($D55='W10'!$A$62,'W10'!C$62,IF($D55='W10'!$A$63,'W10'!C$63,IF($D55='W10'!$A$64,'W10'!C$64,IF($D55='W10'!$A$65,'W10'!C$65,IF($D55='W10'!$A$66,'W10'!C$66,IF($D55='W10'!$A$67,'W10'!C$67,IF($D55='W10'!$A$68,'W10'!D294,IF($D55='W10'!$A$69,'W10'!D294,IF($D55='W10'!$A$70,'W10'!D294,IF($D55='W10'!$A$71,"")))))))))))))</f>
        <v/>
      </c>
      <c r="G55" s="379"/>
      <c r="H55" s="366" t="str">
        <f>IF($D55='W10'!$A$59,'W10'!D$59,IF($D55='W10'!$A$60,'W10'!D$60,IF($D55='W10'!$A$61,'W10'!D$61,IF($D55='W10'!$A$62,'W10'!D$62,IF($D55='W10'!$A$63,'W10'!D$63,IF($D55='W10'!$A$64,'W10'!D$64,IF($D55='W10'!$A$65,'W10'!D$65,IF($D55='W10'!$A$66,'W10'!D$66,IF($D55='W10'!$A$67,'W10'!D$67,IF($D55='W10'!$A$68,'W10'!F294,IF($D55='W10'!$A$69,'W10'!F294,IF($D55='W10'!$A$70,'W10'!F294,IF($D55='W10'!$A$71,"")))))))))))))</f>
        <v/>
      </c>
      <c r="I55" s="367"/>
      <c r="J55" s="366" t="str">
        <f>IF($D55='W10'!$A$59,'W10'!E$59,IF($D55='W10'!$A$60,'W10'!E$60,IF($D55='W10'!$A$61,'W10'!E$61,IF($D55='W10'!$A$62,'W10'!E$62,IF($D55='W10'!$A$63,'W10'!E$63,IF($D55='W10'!$A$64,'W10'!E$64,IF($D55='W10'!$A$65,'W10'!E$65,IF($D55='W10'!$A$66,'W10'!E$66,IF($D55='W10'!$A$67,'W10'!E$67,IF($D55='W10'!$A$68,'W10'!H294,IF($D55='W10'!$A$69,'W10'!H294,IF($D55='W10'!$A$70,'W10'!H294,IF($D55='W10'!$A$71,"")))))))))))))</f>
        <v/>
      </c>
      <c r="K55" s="367"/>
      <c r="L55" s="366" t="str">
        <f>IF($D55='W10'!$A$59,'W10'!F$59,IF($D55='W10'!$A$60,'W10'!F$60,IF($D55='W10'!$A$61,'W10'!F$61,IF($D55='W10'!$A$62,'W10'!F$62,IF($D55='W10'!$A$63,'W10'!F$63,IF($D55='W10'!$A$64,'W10'!F$64,IF($D55='W10'!$A$65,'W10'!F$65,IF($D55='W10'!$A$66,'W10'!F$66,IF($D55='W10'!$A$67,'W10'!F$67,IF($D55='W10'!$A$68,'W10'!J294,IF($D55='W10'!$A$69,'W10'!J294,IF($D55='W10'!$A$70,'W10'!J294,IF($D55='W10'!$A$71,"")))))))))))))</f>
        <v/>
      </c>
      <c r="M55" s="367"/>
      <c r="N55" s="187">
        <f ca="1">IF(N27=0,0,IF(AND($D55="F-SMRA",N27=0),0,IF(AND($D55="F-SMRB",N27=0),0,IF(AND($D55="F-SMRC",N27=0),0,IF($D55='W10'!$A$68,'W10'!B320,IF($D55='W10'!$A$69,'W10'!B320,IF($D55='W10'!$A$70,'W10'!B320,ROUND(('R10'!N27/'W10'!$C$5*'W10'!$C$9*(IF('R10'!$D55='W10'!$A$47,'W10'!B$47,IF('R10'!$D55='W10'!$A$48,'W10'!B$48,IF('R10'!$D55='W10'!$A$49,'W10'!B$49,IF('R10'!$D55='W10'!$A$50,'W10'!B$50,IF('R10'!$D55='W10'!$A$51,'W10'!B$51,IF('R10'!$D55='W10'!$A$52,'W10'!B$52,IF('R10'!$D55='W10'!$A$53,'W10'!B$53,IF('R10'!$D55='W10'!$A$54,'W10'!B$54,IF('R10'!$D55='W10'!$A$55,'W10'!B$55))))))))))),0)+ROUND(N27/'W10'!$C$5*'W10'!$C$10*(IF('R10'!$D55='W10'!$A$47,'W10'!C$47,IF('R10'!$D55='W10'!$A$48,'W10'!C$48,IF('R10'!$D55='W10'!$A$49,'W10'!C$49,IF('R10'!$D55='W10'!$A$50,'W10'!C$50,IF('R10'!$D55='W10'!$A$51,'W10'!C$51,IF('R10'!$D55='W10'!$A$52,'W10'!C$52,IF('R10'!$D55='W10'!$A$53,'W10'!C$53,IF('R10'!$D55='W10'!$A$54,'W10'!C$54,IF('R10'!$D55='W10'!$A$55,'W10'!C$55)))))))))),0))))))))</f>
        <v>0</v>
      </c>
      <c r="O55" s="187">
        <f ca="1">IF(O27=0,0,IF(AND($D55="F-SMRA",O27=0),0,IF(AND($D55="F-SMRB",O27=0),0,IF(AND($D55="F-SMRC",O27=0),0,IF($D55='W10'!$A$68,'W10'!D320,IF($D55='W10'!$A$69,'W10'!D320,IF($D55='W10'!$A$70,'W10'!D320,ROUND(('R10'!O27/'W10'!$D$5*'W10'!$D$9*(IF('R10'!$D55='W10'!$A$47,'W10'!D$47,IF('R10'!$D55='W10'!$A$48,'W10'!D$48,IF('R10'!$D55='W10'!$A$49,'W10'!D$49,IF('R10'!$D55='W10'!$A$50,'W10'!D$50,IF('R10'!$D55='W10'!$A$51,'W10'!D$51,IF('R10'!$D55='W10'!$A$52,'W10'!D$52,IF('R10'!$D55='W10'!$A$53,'W10'!D$53,IF('R10'!$D55='W10'!$A$54,'W10'!D$54,IF('R10'!$D55='W10'!$A$55,'W10'!D$55))))))))))),0)+ROUND(O27/'W10'!$D$5*'W10'!$D$10*(IF('R10'!$D55='W10'!$A$47,'W10'!E$47,IF('R10'!$D55='W10'!$A$48,'W10'!E$48,IF('R10'!$D55='W10'!$A$49,'W10'!E$49,IF('R10'!$D55='W10'!$A$50,'W10'!E$50,IF('R10'!$D55='W10'!$A$51,'W10'!E$51,IF('R10'!$D55='W10'!$A$52,'W10'!E$52,IF('R10'!$D55='W10'!$A$53,'W10'!E$53,IF('R10'!$D55='W10'!$A$54,'W10'!E$54,IF('R10'!$D55='W10'!$A$55,'W10'!E$55)))))))))),0))))))))</f>
        <v>0</v>
      </c>
      <c r="P55" s="187">
        <f ca="1">IF(P27=0,0,IF(AND($D55="F-SMRA",P27=0),0,IF(AND($D55="F-SMRB",P27=0),0,IF(AND($D55="F-SMRC",P27=0),0,IF($D55='W10'!$A$68,'W10'!F320,IF($D55='W10'!$A$69,'W10'!F320,IF($D55='W10'!$A$70,'W10'!F320,ROUND(('R10'!P27/'W10'!$E$5*'W10'!$E$9*(IF('R10'!$D55='W10'!$A$47,'W10'!F$47,IF('R10'!$D55='W10'!$A$48,'W10'!F$48,IF('R10'!$D55='W10'!$A$49,'W10'!F$49,IF('R10'!$D55='W10'!$A$50,'W10'!F$50,IF('R10'!$D55='W10'!$A$51,'W10'!F$51,IF('R10'!$D55='W10'!$A$52,'W10'!F$52,IF('R10'!$D55='W10'!$A$53,'W10'!F$53,IF('R10'!$D55='W10'!$A$54,'W10'!F$54,IF('R10'!$D55='W10'!$A$55,'W10'!F$55))))))))))),0)+ROUND(P27/'W10'!$E$5*'W10'!$E$10*(IF('R10'!$D55='W10'!$A$47,'W10'!G$47,IF('R10'!$D55='W10'!$A$48,'W10'!G$48,IF('R10'!$D55='W10'!$A$49,'W10'!G$49,IF('R10'!$D55='W10'!$A$50,'W10'!G$50,IF('R10'!$D55='W10'!$A$51,'W10'!G$51,IF('R10'!$D55='W10'!$A$52,'W10'!G$52,IF('R10'!$D55='W10'!$A$53,'W10'!G$53,IF('R10'!$D55='W10'!$A$54,'W10'!G$54,IF('R10'!$D55='W10'!$A$55,'W10'!G$55)))))))))),0))))))))</f>
        <v>0</v>
      </c>
      <c r="Q55" s="187">
        <f ca="1">IF(Q27=0,0,IF(AND($D55="F-SMRA",Q27=0),0,IF(AND($D55="F-SMRB",Q27=0),0,IF(AND($D55="F-SMRC",Q27=0),0,IF($D55='W10'!$A$68,'W10'!H320,IF($D55='W10'!$A$69,'W10'!H320,IF($D55='W10'!$A$70,'W10'!H320,ROUND(('R10'!Q27/'W10'!$F$5*'W10'!$F$9*(IF('R10'!$D55='W10'!$A$47,'W10'!H$47,IF('R10'!$D55='W10'!$A$48,'W10'!H$48,IF('R10'!$D55='W10'!$A$49,'W10'!H$49,IF('R10'!$D55='W10'!$A$50,'W10'!H$50,IF('R10'!$D55='W10'!$A$51,'W10'!H$51,IF('R10'!$D55='W10'!$A$52,'W10'!H$52,IF('R10'!$D55='W10'!$A$53,'W10'!H$53,IF('R10'!$D55='W10'!$A$54,'W10'!H$54,IF('R10'!$D55='W10'!$A$55,'W10'!H$55))))))))))),0)+ROUND(Q27/'W10'!$F$5*'W10'!$F$10*(IF('R10'!$D55='W10'!$A$47,'W10'!I$47,IF('R10'!$D55='W10'!$A$48,'W10'!I$48,IF('R10'!$D55='W10'!$A$49,'W10'!I$49,IF('R10'!$D55='W10'!$A$50,'W10'!I$50,IF('R10'!$D55='W10'!$A$51,'W10'!I$51,IF('R10'!$D55='W10'!$A$52,'W10'!I$52,IF('R10'!$D55='W10'!$A$53,'W10'!I$53,IF('R10'!$D55='W10'!$A$54,'W10'!I$54,IF('R10'!$D55='W10'!$A$55,'W10'!I$55)))))))))),0))))))))</f>
        <v>0</v>
      </c>
      <c r="R55" s="187">
        <f ca="1">IF(R27=0,0,IF(AND($D55="F-SMRA",R27=0),0,IF(AND($D55="F-SMRB",R27=0),0,IF(AND($D55="F-SMRC",R27=0),0,IF($D55='W10'!$A$68,'W10'!J320,IF($D55='W10'!$A$69,'W10'!J320,IF($D55='W10'!$A$70,'W10'!J320,ROUND(('R10'!R27/'W10'!$G$5*'W10'!$G$9*(IF('R10'!$D55='W10'!$A$47,'W10'!J$47,IF('R10'!$D55='W10'!$A$48,'W10'!J$48,IF('R10'!$D55='W10'!$A$49,'W10'!J$49,IF('R10'!$D55='W10'!$A$50,'W10'!J$50,IF('R10'!$D55='W10'!$A$51,'W10'!J$51,IF('R10'!$D55='W10'!$A$52,'W10'!J$52,IF('R10'!$D55='W10'!$A$53,'W10'!J$53,IF('R10'!$D55='W10'!$A$54,'W10'!J$54,IF('R10'!$D55='W10'!$A$55,'W10'!J$55))))))))))),0)+ROUND(R27/'W10'!$G$5*'W10'!$G$10*(IF('R10'!$D55='W10'!$A$47,'W10'!K$47,IF('R10'!$D55='W10'!$A$48,'W10'!K$48,IF('R10'!$D55='W10'!$A$49,'W10'!K$49,IF('R10'!$D55='W10'!$A$50,'W10'!K$50,IF('R10'!$D55='W10'!$A$51,'W10'!K$51,IF('R10'!$D55='W10'!$A$52,'W10'!K$52,IF('R10'!$D55='W10'!$A$53,'W10'!K$53,IF('R10'!$D55='W10'!$A$54,'W10'!K$54,IF('R10'!$D55='W10'!$A$55,'W10'!K$55)))))))))),0))))))))</f>
        <v>0</v>
      </c>
      <c r="S55" s="187">
        <f t="shared" ca="1" si="3"/>
        <v>0</v>
      </c>
      <c r="T55" s="248"/>
      <c r="U55" s="248"/>
      <c r="V55" s="248"/>
      <c r="W55" s="248"/>
      <c r="X55" s="248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</row>
    <row r="56" spans="1:51" hidden="1" x14ac:dyDescent="0.2">
      <c r="A56" s="92">
        <v>21</v>
      </c>
      <c r="B56" s="381">
        <f t="shared" si="2"/>
        <v>0</v>
      </c>
      <c r="C56" s="382"/>
      <c r="D56" s="199" t="s">
        <v>52</v>
      </c>
      <c r="E56" s="265" t="str">
        <f>IF($D56='W10'!$A$59,'W10'!B$59,IF($D56='W10'!$A$60,'W10'!B$60,IF($D56='W10'!$A$61,'W10'!B$61,IF($D56='W10'!$A$62,'W10'!B$62,IF($D56='W10'!$A$63,'W10'!B$63,IF($D56='W10'!$A$64,'W10'!B$64,IF($D56='W10'!$A$65,'W10'!B$65,IF($D56='W10'!$A$66,'W10'!B$66,IF($D56='W10'!$A$67,'W10'!B$67,IF($D56='W10'!$A$68,'W10'!B295,IF($D56='W10'!$A$69,'W10'!B295,IF($D56='W10'!$A$70,'W10'!B295,IF($D56='W10'!$A$71,"")))))))))))))</f>
        <v/>
      </c>
      <c r="F56" s="378" t="str">
        <f>IF($D56='W10'!$A$59,'W10'!C$59,IF($D56='W10'!$A$60,'W10'!C$60,IF($D56='W10'!$A$61,'W10'!C$61,IF($D56='W10'!$A$62,'W10'!C$62,IF($D56='W10'!$A$63,'W10'!C$63,IF($D56='W10'!$A$64,'W10'!C$64,IF($D56='W10'!$A$65,'W10'!C$65,IF($D56='W10'!$A$66,'W10'!C$66,IF($D56='W10'!$A$67,'W10'!C$67,IF($D56='W10'!$A$68,'W10'!D295,IF($D56='W10'!$A$69,'W10'!D295,IF($D56='W10'!$A$70,'W10'!D295,IF($D56='W10'!$A$71,"")))))))))))))</f>
        <v/>
      </c>
      <c r="G56" s="379"/>
      <c r="H56" s="366" t="str">
        <f>IF($D56='W10'!$A$59,'W10'!D$59,IF($D56='W10'!$A$60,'W10'!D$60,IF($D56='W10'!$A$61,'W10'!D$61,IF($D56='W10'!$A$62,'W10'!D$62,IF($D56='W10'!$A$63,'W10'!D$63,IF($D56='W10'!$A$64,'W10'!D$64,IF($D56='W10'!$A$65,'W10'!D$65,IF($D56='W10'!$A$66,'W10'!D$66,IF($D56='W10'!$A$67,'W10'!D$67,IF($D56='W10'!$A$68,'W10'!F295,IF($D56='W10'!$A$69,'W10'!F295,IF($D56='W10'!$A$70,'W10'!F295,IF($D56='W10'!$A$71,"")))))))))))))</f>
        <v/>
      </c>
      <c r="I56" s="367"/>
      <c r="J56" s="366" t="str">
        <f>IF($D56='W10'!$A$59,'W10'!E$59,IF($D56='W10'!$A$60,'W10'!E$60,IF($D56='W10'!$A$61,'W10'!E$61,IF($D56='W10'!$A$62,'W10'!E$62,IF($D56='W10'!$A$63,'W10'!E$63,IF($D56='W10'!$A$64,'W10'!E$64,IF($D56='W10'!$A$65,'W10'!E$65,IF($D56='W10'!$A$66,'W10'!E$66,IF($D56='W10'!$A$67,'W10'!E$67,IF($D56='W10'!$A$68,'W10'!H295,IF($D56='W10'!$A$69,'W10'!H295,IF($D56='W10'!$A$70,'W10'!H295,IF($D56='W10'!$A$71,"")))))))))))))</f>
        <v/>
      </c>
      <c r="K56" s="367"/>
      <c r="L56" s="366" t="str">
        <f>IF($D56='W10'!$A$59,'W10'!F$59,IF($D56='W10'!$A$60,'W10'!F$60,IF($D56='W10'!$A$61,'W10'!F$61,IF($D56='W10'!$A$62,'W10'!F$62,IF($D56='W10'!$A$63,'W10'!F$63,IF($D56='W10'!$A$64,'W10'!F$64,IF($D56='W10'!$A$65,'W10'!F$65,IF($D56='W10'!$A$66,'W10'!F$66,IF($D56='W10'!$A$67,'W10'!F$67,IF($D56='W10'!$A$68,'W10'!J295,IF($D56='W10'!$A$69,'W10'!J295,IF($D56='W10'!$A$70,'W10'!J295,IF($D56='W10'!$A$71,"")))))))))))))</f>
        <v/>
      </c>
      <c r="M56" s="367"/>
      <c r="N56" s="187">
        <f ca="1">IF(N28=0,0,IF(AND($D56="F-SMRA",N28=0),0,IF(AND($D56="F-SMRB",N28=0),0,IF(AND($D56="F-SMRC",N28=0),0,IF($D56='W10'!$A$68,'W10'!B321,IF($D56='W10'!$A$69,'W10'!B321,IF($D56='W10'!$A$70,'W10'!B321,ROUND(('R10'!N28/'W10'!$C$5*'W10'!$C$9*(IF('R10'!$D56='W10'!$A$47,'W10'!B$47,IF('R10'!$D56='W10'!$A$48,'W10'!B$48,IF('R10'!$D56='W10'!$A$49,'W10'!B$49,IF('R10'!$D56='W10'!$A$50,'W10'!B$50,IF('R10'!$D56='W10'!$A$51,'W10'!B$51,IF('R10'!$D56='W10'!$A$52,'W10'!B$52,IF('R10'!$D56='W10'!$A$53,'W10'!B$53,IF('R10'!$D56='W10'!$A$54,'W10'!B$54,IF('R10'!$D56='W10'!$A$55,'W10'!B$55))))))))))),0)+ROUND(N28/'W10'!$C$5*'W10'!$C$10*(IF('R10'!$D56='W10'!$A$47,'W10'!C$47,IF('R10'!$D56='W10'!$A$48,'W10'!C$48,IF('R10'!$D56='W10'!$A$49,'W10'!C$49,IF('R10'!$D56='W10'!$A$50,'W10'!C$50,IF('R10'!$D56='W10'!$A$51,'W10'!C$51,IF('R10'!$D56='W10'!$A$52,'W10'!C$52,IF('R10'!$D56='W10'!$A$53,'W10'!C$53,IF('R10'!$D56='W10'!$A$54,'W10'!C$54,IF('R10'!$D56='W10'!$A$55,'W10'!C$55)))))))))),0))))))))</f>
        <v>0</v>
      </c>
      <c r="O56" s="187">
        <f ca="1">IF(O28=0,0,IF(AND($D56="F-SMRA",O28=0),0,IF(AND($D56="F-SMRB",O28=0),0,IF(AND($D56="F-SMRC",O28=0),0,IF($D56='W10'!$A$68,'W10'!D321,IF($D56='W10'!$A$69,'W10'!D321,IF($D56='W10'!$A$70,'W10'!D321,ROUND(('R10'!O28/'W10'!$D$5*'W10'!$D$9*(IF('R10'!$D56='W10'!$A$47,'W10'!D$47,IF('R10'!$D56='W10'!$A$48,'W10'!D$48,IF('R10'!$D56='W10'!$A$49,'W10'!D$49,IF('R10'!$D56='W10'!$A$50,'W10'!D$50,IF('R10'!$D56='W10'!$A$51,'W10'!D$51,IF('R10'!$D56='W10'!$A$52,'W10'!D$52,IF('R10'!$D56='W10'!$A$53,'W10'!D$53,IF('R10'!$D56='W10'!$A$54,'W10'!D$54,IF('R10'!$D56='W10'!$A$55,'W10'!D$55))))))))))),0)+ROUND(O28/'W10'!$D$5*'W10'!$D$10*(IF('R10'!$D56='W10'!$A$47,'W10'!E$47,IF('R10'!$D56='W10'!$A$48,'W10'!E$48,IF('R10'!$D56='W10'!$A$49,'W10'!E$49,IF('R10'!$D56='W10'!$A$50,'W10'!E$50,IF('R10'!$D56='W10'!$A$51,'W10'!E$51,IF('R10'!$D56='W10'!$A$52,'W10'!E$52,IF('R10'!$D56='W10'!$A$53,'W10'!E$53,IF('R10'!$D56='W10'!$A$54,'W10'!E$54,IF('R10'!$D56='W10'!$A$55,'W10'!E$55)))))))))),0))))))))</f>
        <v>0</v>
      </c>
      <c r="P56" s="187">
        <f ca="1">IF(P28=0,0,IF(AND($D56="F-SMRA",P28=0),0,IF(AND($D56="F-SMRB",P28=0),0,IF(AND($D56="F-SMRC",P28=0),0,IF($D56='W10'!$A$68,'W10'!F321,IF($D56='W10'!$A$69,'W10'!F321,IF($D56='W10'!$A$70,'W10'!F321,ROUND(('R10'!P28/'W10'!$E$5*'W10'!$E$9*(IF('R10'!$D56='W10'!$A$47,'W10'!F$47,IF('R10'!$D56='W10'!$A$48,'W10'!F$48,IF('R10'!$D56='W10'!$A$49,'W10'!F$49,IF('R10'!$D56='W10'!$A$50,'W10'!F$50,IF('R10'!$D56='W10'!$A$51,'W10'!F$51,IF('R10'!$D56='W10'!$A$52,'W10'!F$52,IF('R10'!$D56='W10'!$A$53,'W10'!F$53,IF('R10'!$D56='W10'!$A$54,'W10'!F$54,IF('R10'!$D56='W10'!$A$55,'W10'!F$55))))))))))),0)+ROUND(P28/'W10'!$E$5*'W10'!$E$10*(IF('R10'!$D56='W10'!$A$47,'W10'!G$47,IF('R10'!$D56='W10'!$A$48,'W10'!G$48,IF('R10'!$D56='W10'!$A$49,'W10'!G$49,IF('R10'!$D56='W10'!$A$50,'W10'!G$50,IF('R10'!$D56='W10'!$A$51,'W10'!G$51,IF('R10'!$D56='W10'!$A$52,'W10'!G$52,IF('R10'!$D56='W10'!$A$53,'W10'!G$53,IF('R10'!$D56='W10'!$A$54,'W10'!G$54,IF('R10'!$D56='W10'!$A$55,'W10'!G$55)))))))))),0))))))))</f>
        <v>0</v>
      </c>
      <c r="Q56" s="187">
        <f ca="1">IF(Q28=0,0,IF(AND($D56="F-SMRA",Q28=0),0,IF(AND($D56="F-SMRB",Q28=0),0,IF(AND($D56="F-SMRC",Q28=0),0,IF($D56='W10'!$A$68,'W10'!H321,IF($D56='W10'!$A$69,'W10'!H321,IF($D56='W10'!$A$70,'W10'!H321,ROUND(('R10'!Q28/'W10'!$F$5*'W10'!$F$9*(IF('R10'!$D56='W10'!$A$47,'W10'!H$47,IF('R10'!$D56='W10'!$A$48,'W10'!H$48,IF('R10'!$D56='W10'!$A$49,'W10'!H$49,IF('R10'!$D56='W10'!$A$50,'W10'!H$50,IF('R10'!$D56='W10'!$A$51,'W10'!H$51,IF('R10'!$D56='W10'!$A$52,'W10'!H$52,IF('R10'!$D56='W10'!$A$53,'W10'!H$53,IF('R10'!$D56='W10'!$A$54,'W10'!H$54,IF('R10'!$D56='W10'!$A$55,'W10'!H$55))))))))))),0)+ROUND(Q28/'W10'!$F$5*'W10'!$F$10*(IF('R10'!$D56='W10'!$A$47,'W10'!I$47,IF('R10'!$D56='W10'!$A$48,'W10'!I$48,IF('R10'!$D56='W10'!$A$49,'W10'!I$49,IF('R10'!$D56='W10'!$A$50,'W10'!I$50,IF('R10'!$D56='W10'!$A$51,'W10'!I$51,IF('R10'!$D56='W10'!$A$52,'W10'!I$52,IF('R10'!$D56='W10'!$A$53,'W10'!I$53,IF('R10'!$D56='W10'!$A$54,'W10'!I$54,IF('R10'!$D56='W10'!$A$55,'W10'!I$55)))))))))),0))))))))</f>
        <v>0</v>
      </c>
      <c r="R56" s="187">
        <f ca="1">IF(R28=0,0,IF(AND($D56="F-SMRA",R28=0),0,IF(AND($D56="F-SMRB",R28=0),0,IF(AND($D56="F-SMRC",R28=0),0,IF($D56='W10'!$A$68,'W10'!J321,IF($D56='W10'!$A$69,'W10'!J321,IF($D56='W10'!$A$70,'W10'!J321,ROUND(('R10'!R28/'W10'!$G$5*'W10'!$G$9*(IF('R10'!$D56='W10'!$A$47,'W10'!J$47,IF('R10'!$D56='W10'!$A$48,'W10'!J$48,IF('R10'!$D56='W10'!$A$49,'W10'!J$49,IF('R10'!$D56='W10'!$A$50,'W10'!J$50,IF('R10'!$D56='W10'!$A$51,'W10'!J$51,IF('R10'!$D56='W10'!$A$52,'W10'!J$52,IF('R10'!$D56='W10'!$A$53,'W10'!J$53,IF('R10'!$D56='W10'!$A$54,'W10'!J$54,IF('R10'!$D56='W10'!$A$55,'W10'!J$55))))))))))),0)+ROUND(R28/'W10'!$G$5*'W10'!$G$10*(IF('R10'!$D56='W10'!$A$47,'W10'!K$47,IF('R10'!$D56='W10'!$A$48,'W10'!K$48,IF('R10'!$D56='W10'!$A$49,'W10'!K$49,IF('R10'!$D56='W10'!$A$50,'W10'!K$50,IF('R10'!$D56='W10'!$A$51,'W10'!K$51,IF('R10'!$D56='W10'!$A$52,'W10'!K$52,IF('R10'!$D56='W10'!$A$53,'W10'!K$53,IF('R10'!$D56='W10'!$A$54,'W10'!K$54,IF('R10'!$D56='W10'!$A$55,'W10'!K$55)))))))))),0))))))))</f>
        <v>0</v>
      </c>
      <c r="S56" s="187">
        <f t="shared" ca="1" si="3"/>
        <v>0</v>
      </c>
      <c r="T56" s="248"/>
      <c r="U56" s="248"/>
      <c r="V56" s="248"/>
      <c r="W56" s="248"/>
      <c r="X56" s="248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</row>
    <row r="57" spans="1:51" hidden="1" x14ac:dyDescent="0.2">
      <c r="A57" s="92">
        <v>22</v>
      </c>
      <c r="B57" s="381">
        <f t="shared" si="2"/>
        <v>0</v>
      </c>
      <c r="C57" s="382"/>
      <c r="D57" s="199" t="s">
        <v>52</v>
      </c>
      <c r="E57" s="265" t="str">
        <f>IF($D57='W10'!$A$59,'W10'!B$59,IF($D57='W10'!$A$60,'W10'!B$60,IF($D57='W10'!$A$61,'W10'!B$61,IF($D57='W10'!$A$62,'W10'!B$62,IF($D57='W10'!$A$63,'W10'!B$63,IF($D57='W10'!$A$64,'W10'!B$64,IF($D57='W10'!$A$65,'W10'!B$65,IF($D57='W10'!$A$66,'W10'!B$66,IF($D57='W10'!$A$67,'W10'!B$67,IF($D57='W10'!$A$68,'W10'!B296,IF($D57='W10'!$A$69,'W10'!B296,IF($D57='W10'!$A$70,'W10'!B296,IF($D57='W10'!$A$71,"")))))))))))))</f>
        <v/>
      </c>
      <c r="F57" s="378" t="str">
        <f>IF($D57='W10'!$A$59,'W10'!C$59,IF($D57='W10'!$A$60,'W10'!C$60,IF($D57='W10'!$A$61,'W10'!C$61,IF($D57='W10'!$A$62,'W10'!C$62,IF($D57='W10'!$A$63,'W10'!C$63,IF($D57='W10'!$A$64,'W10'!C$64,IF($D57='W10'!$A$65,'W10'!C$65,IF($D57='W10'!$A$66,'W10'!C$66,IF($D57='W10'!$A$67,'W10'!C$67,IF($D57='W10'!$A$68,'W10'!D296,IF($D57='W10'!$A$69,'W10'!D296,IF($D57='W10'!$A$70,'W10'!D296,IF($D57='W10'!$A$71,"")))))))))))))</f>
        <v/>
      </c>
      <c r="G57" s="379"/>
      <c r="H57" s="366" t="str">
        <f>IF($D57='W10'!$A$59,'W10'!D$59,IF($D57='W10'!$A$60,'W10'!D$60,IF($D57='W10'!$A$61,'W10'!D$61,IF($D57='W10'!$A$62,'W10'!D$62,IF($D57='W10'!$A$63,'W10'!D$63,IF($D57='W10'!$A$64,'W10'!D$64,IF($D57='W10'!$A$65,'W10'!D$65,IF($D57='W10'!$A$66,'W10'!D$66,IF($D57='W10'!$A$67,'W10'!D$67,IF($D57='W10'!$A$68,'W10'!F296,IF($D57='W10'!$A$69,'W10'!F296,IF($D57='W10'!$A$70,'W10'!F296,IF($D57='W10'!$A$71,"")))))))))))))</f>
        <v/>
      </c>
      <c r="I57" s="367"/>
      <c r="J57" s="366" t="str">
        <f>IF($D57='W10'!$A$59,'W10'!E$59,IF($D57='W10'!$A$60,'W10'!E$60,IF($D57='W10'!$A$61,'W10'!E$61,IF($D57='W10'!$A$62,'W10'!E$62,IF($D57='W10'!$A$63,'W10'!E$63,IF($D57='W10'!$A$64,'W10'!E$64,IF($D57='W10'!$A$65,'W10'!E$65,IF($D57='W10'!$A$66,'W10'!E$66,IF($D57='W10'!$A$67,'W10'!E$67,IF($D57='W10'!$A$68,'W10'!H296,IF($D57='W10'!$A$69,'W10'!H296,IF($D57='W10'!$A$70,'W10'!H296,IF($D57='W10'!$A$71,"")))))))))))))</f>
        <v/>
      </c>
      <c r="K57" s="367"/>
      <c r="L57" s="366" t="str">
        <f>IF($D57='W10'!$A$59,'W10'!F$59,IF($D57='W10'!$A$60,'W10'!F$60,IF($D57='W10'!$A$61,'W10'!F$61,IF($D57='W10'!$A$62,'W10'!F$62,IF($D57='W10'!$A$63,'W10'!F$63,IF($D57='W10'!$A$64,'W10'!F$64,IF($D57='W10'!$A$65,'W10'!F$65,IF($D57='W10'!$A$66,'W10'!F$66,IF($D57='W10'!$A$67,'W10'!F$67,IF($D57='W10'!$A$68,'W10'!J296,IF($D57='W10'!$A$69,'W10'!J296,IF($D57='W10'!$A$70,'W10'!J296,IF($D57='W10'!$A$71,"")))))))))))))</f>
        <v/>
      </c>
      <c r="M57" s="367"/>
      <c r="N57" s="187">
        <f ca="1">IF(N29=0,0,IF(AND($D57="F-SMRA",N29=0),0,IF(AND($D57="F-SMRB",N29=0),0,IF(AND($D57="F-SMRC",N29=0),0,IF($D57='W10'!$A$68,'W10'!B322,IF($D57='W10'!$A$69,'W10'!B322,IF($D57='W10'!$A$70,'W10'!B322,ROUND(('R10'!N29/'W10'!$C$5*'W10'!$C$9*(IF('R10'!$D57='W10'!$A$47,'W10'!B$47,IF('R10'!$D57='W10'!$A$48,'W10'!B$48,IF('R10'!$D57='W10'!$A$49,'W10'!B$49,IF('R10'!$D57='W10'!$A$50,'W10'!B$50,IF('R10'!$D57='W10'!$A$51,'W10'!B$51,IF('R10'!$D57='W10'!$A$52,'W10'!B$52,IF('R10'!$D57='W10'!$A$53,'W10'!B$53,IF('R10'!$D57='W10'!$A$54,'W10'!B$54,IF('R10'!$D57='W10'!$A$55,'W10'!B$55))))))))))),0)+ROUND(N29/'W10'!$C$5*'W10'!$C$10*(IF('R10'!$D57='W10'!$A$47,'W10'!C$47,IF('R10'!$D57='W10'!$A$48,'W10'!C$48,IF('R10'!$D57='W10'!$A$49,'W10'!C$49,IF('R10'!$D57='W10'!$A$50,'W10'!C$50,IF('R10'!$D57='W10'!$A$51,'W10'!C$51,IF('R10'!$D57='W10'!$A$52,'W10'!C$52,IF('R10'!$D57='W10'!$A$53,'W10'!C$53,IF('R10'!$D57='W10'!$A$54,'W10'!C$54,IF('R10'!$D57='W10'!$A$55,'W10'!C$55)))))))))),0))))))))</f>
        <v>0</v>
      </c>
      <c r="O57" s="187">
        <f ca="1">IF(O29=0,0,IF(AND($D57="F-SMRA",O29=0),0,IF(AND($D57="F-SMRB",O29=0),0,IF(AND($D57="F-SMRC",O29=0),0,IF($D57='W10'!$A$68,'W10'!D322,IF($D57='W10'!$A$69,'W10'!D322,IF($D57='W10'!$A$70,'W10'!D322,ROUND(('R10'!O29/'W10'!$D$5*'W10'!$D$9*(IF('R10'!$D57='W10'!$A$47,'W10'!D$47,IF('R10'!$D57='W10'!$A$48,'W10'!D$48,IF('R10'!$D57='W10'!$A$49,'W10'!D$49,IF('R10'!$D57='W10'!$A$50,'W10'!D$50,IF('R10'!$D57='W10'!$A$51,'W10'!D$51,IF('R10'!$D57='W10'!$A$52,'W10'!D$52,IF('R10'!$D57='W10'!$A$53,'W10'!D$53,IF('R10'!$D57='W10'!$A$54,'W10'!D$54,IF('R10'!$D57='W10'!$A$55,'W10'!D$55))))))))))),0)+ROUND(O29/'W10'!$D$5*'W10'!$D$10*(IF('R10'!$D57='W10'!$A$47,'W10'!E$47,IF('R10'!$D57='W10'!$A$48,'W10'!E$48,IF('R10'!$D57='W10'!$A$49,'W10'!E$49,IF('R10'!$D57='W10'!$A$50,'W10'!E$50,IF('R10'!$D57='W10'!$A$51,'W10'!E$51,IF('R10'!$D57='W10'!$A$52,'W10'!E$52,IF('R10'!$D57='W10'!$A$53,'W10'!E$53,IF('R10'!$D57='W10'!$A$54,'W10'!E$54,IF('R10'!$D57='W10'!$A$55,'W10'!E$55)))))))))),0))))))))</f>
        <v>0</v>
      </c>
      <c r="P57" s="187">
        <f ca="1">IF(P29=0,0,IF(AND($D57="F-SMRA",P29=0),0,IF(AND($D57="F-SMRB",P29=0),0,IF(AND($D57="F-SMRC",P29=0),0,IF($D57='W10'!$A$68,'W10'!F322,IF($D57='W10'!$A$69,'W10'!F322,IF($D57='W10'!$A$70,'W10'!F322,ROUND(('R10'!P29/'W10'!$E$5*'W10'!$E$9*(IF('R10'!$D57='W10'!$A$47,'W10'!F$47,IF('R10'!$D57='W10'!$A$48,'W10'!F$48,IF('R10'!$D57='W10'!$A$49,'W10'!F$49,IF('R10'!$D57='W10'!$A$50,'W10'!F$50,IF('R10'!$D57='W10'!$A$51,'W10'!F$51,IF('R10'!$D57='W10'!$A$52,'W10'!F$52,IF('R10'!$D57='W10'!$A$53,'W10'!F$53,IF('R10'!$D57='W10'!$A$54,'W10'!F$54,IF('R10'!$D57='W10'!$A$55,'W10'!F$55))))))))))),0)+ROUND(P29/'W10'!$E$5*'W10'!$E$10*(IF('R10'!$D57='W10'!$A$47,'W10'!G$47,IF('R10'!$D57='W10'!$A$48,'W10'!G$48,IF('R10'!$D57='W10'!$A$49,'W10'!G$49,IF('R10'!$D57='W10'!$A$50,'W10'!G$50,IF('R10'!$D57='W10'!$A$51,'W10'!G$51,IF('R10'!$D57='W10'!$A$52,'W10'!G$52,IF('R10'!$D57='W10'!$A$53,'W10'!G$53,IF('R10'!$D57='W10'!$A$54,'W10'!G$54,IF('R10'!$D57='W10'!$A$55,'W10'!G$55)))))))))),0))))))))</f>
        <v>0</v>
      </c>
      <c r="Q57" s="187">
        <f ca="1">IF(Q29=0,0,IF(AND($D57="F-SMRA",Q29=0),0,IF(AND($D57="F-SMRB",Q29=0),0,IF(AND($D57="F-SMRC",Q29=0),0,IF($D57='W10'!$A$68,'W10'!H322,IF($D57='W10'!$A$69,'W10'!H322,IF($D57='W10'!$A$70,'W10'!H322,ROUND(('R10'!Q29/'W10'!$F$5*'W10'!$F$9*(IF('R10'!$D57='W10'!$A$47,'W10'!H$47,IF('R10'!$D57='W10'!$A$48,'W10'!H$48,IF('R10'!$D57='W10'!$A$49,'W10'!H$49,IF('R10'!$D57='W10'!$A$50,'W10'!H$50,IF('R10'!$D57='W10'!$A$51,'W10'!H$51,IF('R10'!$D57='W10'!$A$52,'W10'!H$52,IF('R10'!$D57='W10'!$A$53,'W10'!H$53,IF('R10'!$D57='W10'!$A$54,'W10'!H$54,IF('R10'!$D57='W10'!$A$55,'W10'!H$55))))))))))),0)+ROUND(Q29/'W10'!$F$5*'W10'!$F$10*(IF('R10'!$D57='W10'!$A$47,'W10'!I$47,IF('R10'!$D57='W10'!$A$48,'W10'!I$48,IF('R10'!$D57='W10'!$A$49,'W10'!I$49,IF('R10'!$D57='W10'!$A$50,'W10'!I$50,IF('R10'!$D57='W10'!$A$51,'W10'!I$51,IF('R10'!$D57='W10'!$A$52,'W10'!I$52,IF('R10'!$D57='W10'!$A$53,'W10'!I$53,IF('R10'!$D57='W10'!$A$54,'W10'!I$54,IF('R10'!$D57='W10'!$A$55,'W10'!I$55)))))))))),0))))))))</f>
        <v>0</v>
      </c>
      <c r="R57" s="187">
        <f ca="1">IF(R29=0,0,IF(AND($D57="F-SMRA",R29=0),0,IF(AND($D57="F-SMRB",R29=0),0,IF(AND($D57="F-SMRC",R29=0),0,IF($D57='W10'!$A$68,'W10'!J322,IF($D57='W10'!$A$69,'W10'!J322,IF($D57='W10'!$A$70,'W10'!J322,ROUND(('R10'!R29/'W10'!$G$5*'W10'!$G$9*(IF('R10'!$D57='W10'!$A$47,'W10'!J$47,IF('R10'!$D57='W10'!$A$48,'W10'!J$48,IF('R10'!$D57='W10'!$A$49,'W10'!J$49,IF('R10'!$D57='W10'!$A$50,'W10'!J$50,IF('R10'!$D57='W10'!$A$51,'W10'!J$51,IF('R10'!$D57='W10'!$A$52,'W10'!J$52,IF('R10'!$D57='W10'!$A$53,'W10'!J$53,IF('R10'!$D57='W10'!$A$54,'W10'!J$54,IF('R10'!$D57='W10'!$A$55,'W10'!J$55))))))))))),0)+ROUND(R29/'W10'!$G$5*'W10'!$G$10*(IF('R10'!$D57='W10'!$A$47,'W10'!K$47,IF('R10'!$D57='W10'!$A$48,'W10'!K$48,IF('R10'!$D57='W10'!$A$49,'W10'!K$49,IF('R10'!$D57='W10'!$A$50,'W10'!K$50,IF('R10'!$D57='W10'!$A$51,'W10'!K$51,IF('R10'!$D57='W10'!$A$52,'W10'!K$52,IF('R10'!$D57='W10'!$A$53,'W10'!K$53,IF('R10'!$D57='W10'!$A$54,'W10'!K$54,IF('R10'!$D57='W10'!$A$55,'W10'!K$55)))))))))),0))))))))</f>
        <v>0</v>
      </c>
      <c r="S57" s="187">
        <f t="shared" ca="1" si="3"/>
        <v>0</v>
      </c>
      <c r="T57" s="248"/>
      <c r="U57" s="248"/>
      <c r="V57" s="248"/>
      <c r="W57" s="248"/>
      <c r="X57" s="248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</row>
    <row r="58" spans="1:51" hidden="1" x14ac:dyDescent="0.2">
      <c r="A58" s="92">
        <v>23</v>
      </c>
      <c r="B58" s="381">
        <f t="shared" si="2"/>
        <v>0</v>
      </c>
      <c r="C58" s="382"/>
      <c r="D58" s="199" t="s">
        <v>52</v>
      </c>
      <c r="E58" s="265" t="str">
        <f>IF($D58='W10'!$A$59,'W10'!B$59,IF($D58='W10'!$A$60,'W10'!B$60,IF($D58='W10'!$A$61,'W10'!B$61,IF($D58='W10'!$A$62,'W10'!B$62,IF($D58='W10'!$A$63,'W10'!B$63,IF($D58='W10'!$A$64,'W10'!B$64,IF($D58='W10'!$A$65,'W10'!B$65,IF($D58='W10'!$A$66,'W10'!B$66,IF($D58='W10'!$A$67,'W10'!B$67,IF($D58='W10'!$A$68,'W10'!B297,IF($D58='W10'!$A$69,'W10'!B297,IF($D58='W10'!$A$70,'W10'!B297,IF($D58='W10'!$A$71,"")))))))))))))</f>
        <v/>
      </c>
      <c r="F58" s="378" t="str">
        <f>IF($D58='W10'!$A$59,'W10'!C$59,IF($D58='W10'!$A$60,'W10'!C$60,IF($D58='W10'!$A$61,'W10'!C$61,IF($D58='W10'!$A$62,'W10'!C$62,IF($D58='W10'!$A$63,'W10'!C$63,IF($D58='W10'!$A$64,'W10'!C$64,IF($D58='W10'!$A$65,'W10'!C$65,IF($D58='W10'!$A$66,'W10'!C$66,IF($D58='W10'!$A$67,'W10'!C$67,IF($D58='W10'!$A$68,'W10'!D297,IF($D58='W10'!$A$69,'W10'!D297,IF($D58='W10'!$A$70,'W10'!D297,IF($D58='W10'!$A$71,"")))))))))))))</f>
        <v/>
      </c>
      <c r="G58" s="379"/>
      <c r="H58" s="366" t="str">
        <f>IF($D58='W10'!$A$59,'W10'!D$59,IF($D58='W10'!$A$60,'W10'!D$60,IF($D58='W10'!$A$61,'W10'!D$61,IF($D58='W10'!$A$62,'W10'!D$62,IF($D58='W10'!$A$63,'W10'!D$63,IF($D58='W10'!$A$64,'W10'!D$64,IF($D58='W10'!$A$65,'W10'!D$65,IF($D58='W10'!$A$66,'W10'!D$66,IF($D58='W10'!$A$67,'W10'!D$67,IF($D58='W10'!$A$68,'W10'!F297,IF($D58='W10'!$A$69,'W10'!F297,IF($D58='W10'!$A$70,'W10'!F297,IF($D58='W10'!$A$71,"")))))))))))))</f>
        <v/>
      </c>
      <c r="I58" s="367"/>
      <c r="J58" s="366" t="str">
        <f>IF($D58='W10'!$A$59,'W10'!E$59,IF($D58='W10'!$A$60,'W10'!E$60,IF($D58='W10'!$A$61,'W10'!E$61,IF($D58='W10'!$A$62,'W10'!E$62,IF($D58='W10'!$A$63,'W10'!E$63,IF($D58='W10'!$A$64,'W10'!E$64,IF($D58='W10'!$A$65,'W10'!E$65,IF($D58='W10'!$A$66,'W10'!E$66,IF($D58='W10'!$A$67,'W10'!E$67,IF($D58='W10'!$A$68,'W10'!H297,IF($D58='W10'!$A$69,'W10'!H297,IF($D58='W10'!$A$70,'W10'!H297,IF($D58='W10'!$A$71,"")))))))))))))</f>
        <v/>
      </c>
      <c r="K58" s="367"/>
      <c r="L58" s="366" t="str">
        <f>IF($D58='W10'!$A$59,'W10'!F$59,IF($D58='W10'!$A$60,'W10'!F$60,IF($D58='W10'!$A$61,'W10'!F$61,IF($D58='W10'!$A$62,'W10'!F$62,IF($D58='W10'!$A$63,'W10'!F$63,IF($D58='W10'!$A$64,'W10'!F$64,IF($D58='W10'!$A$65,'W10'!F$65,IF($D58='W10'!$A$66,'W10'!F$66,IF($D58='W10'!$A$67,'W10'!F$67,IF($D58='W10'!$A$68,'W10'!J297,IF($D58='W10'!$A$69,'W10'!J297,IF($D58='W10'!$A$70,'W10'!J297,IF($D58='W10'!$A$71,"")))))))))))))</f>
        <v/>
      </c>
      <c r="M58" s="367"/>
      <c r="N58" s="187">
        <f ca="1">IF(N30=0,0,IF(AND($D58="F-SMRA",N30=0),0,IF(AND($D58="F-SMRB",N30=0),0,IF(AND($D58="F-SMRC",N30=0),0,IF($D58='W10'!$A$68,'W10'!B323,IF($D58='W10'!$A$69,'W10'!B323,IF($D58='W10'!$A$70,'W10'!B323,ROUND(('R10'!N30/'W10'!$C$5*'W10'!$C$9*(IF('R10'!$D58='W10'!$A$47,'W10'!B$47,IF('R10'!$D58='W10'!$A$48,'W10'!B$48,IF('R10'!$D58='W10'!$A$49,'W10'!B$49,IF('R10'!$D58='W10'!$A$50,'W10'!B$50,IF('R10'!$D58='W10'!$A$51,'W10'!B$51,IF('R10'!$D58='W10'!$A$52,'W10'!B$52,IF('R10'!$D58='W10'!$A$53,'W10'!B$53,IF('R10'!$D58='W10'!$A$54,'W10'!B$54,IF('R10'!$D58='W10'!$A$55,'W10'!B$55))))))))))),0)+ROUND(N30/'W10'!$C$5*'W10'!$C$10*(IF('R10'!$D58='W10'!$A$47,'W10'!C$47,IF('R10'!$D58='W10'!$A$48,'W10'!C$48,IF('R10'!$D58='W10'!$A$49,'W10'!C$49,IF('R10'!$D58='W10'!$A$50,'W10'!C$50,IF('R10'!$D58='W10'!$A$51,'W10'!C$51,IF('R10'!$D58='W10'!$A$52,'W10'!C$52,IF('R10'!$D58='W10'!$A$53,'W10'!C$53,IF('R10'!$D58='W10'!$A$54,'W10'!C$54,IF('R10'!$D58='W10'!$A$55,'W10'!C$55)))))))))),0))))))))</f>
        <v>0</v>
      </c>
      <c r="O58" s="187">
        <f ca="1">IF(O30=0,0,IF(AND($D58="F-SMRA",O30=0),0,IF(AND($D58="F-SMRB",O30=0),0,IF(AND($D58="F-SMRC",O30=0),0,IF($D58='W10'!$A$68,'W10'!D323,IF($D58='W10'!$A$69,'W10'!D323,IF($D58='W10'!$A$70,'W10'!D323,ROUND(('R10'!O30/'W10'!$D$5*'W10'!$D$9*(IF('R10'!$D58='W10'!$A$47,'W10'!D$47,IF('R10'!$D58='W10'!$A$48,'W10'!D$48,IF('R10'!$D58='W10'!$A$49,'W10'!D$49,IF('R10'!$D58='W10'!$A$50,'W10'!D$50,IF('R10'!$D58='W10'!$A$51,'W10'!D$51,IF('R10'!$D58='W10'!$A$52,'W10'!D$52,IF('R10'!$D58='W10'!$A$53,'W10'!D$53,IF('R10'!$D58='W10'!$A$54,'W10'!D$54,IF('R10'!$D58='W10'!$A$55,'W10'!D$55))))))))))),0)+ROUND(O30/'W10'!$D$5*'W10'!$D$10*(IF('R10'!$D58='W10'!$A$47,'W10'!E$47,IF('R10'!$D58='W10'!$A$48,'W10'!E$48,IF('R10'!$D58='W10'!$A$49,'W10'!E$49,IF('R10'!$D58='W10'!$A$50,'W10'!E$50,IF('R10'!$D58='W10'!$A$51,'W10'!E$51,IF('R10'!$D58='W10'!$A$52,'W10'!E$52,IF('R10'!$D58='W10'!$A$53,'W10'!E$53,IF('R10'!$D58='W10'!$A$54,'W10'!E$54,IF('R10'!$D58='W10'!$A$55,'W10'!E$55)))))))))),0))))))))</f>
        <v>0</v>
      </c>
      <c r="P58" s="187">
        <f ca="1">IF(P30=0,0,IF(AND($D58="F-SMRA",P30=0),0,IF(AND($D58="F-SMRB",P30=0),0,IF(AND($D58="F-SMRC",P30=0),0,IF($D58='W10'!$A$68,'W10'!F323,IF($D58='W10'!$A$69,'W10'!F323,IF($D58='W10'!$A$70,'W10'!F323,ROUND(('R10'!P30/'W10'!$E$5*'W10'!$E$9*(IF('R10'!$D58='W10'!$A$47,'W10'!F$47,IF('R10'!$D58='W10'!$A$48,'W10'!F$48,IF('R10'!$D58='W10'!$A$49,'W10'!F$49,IF('R10'!$D58='W10'!$A$50,'W10'!F$50,IF('R10'!$D58='W10'!$A$51,'W10'!F$51,IF('R10'!$D58='W10'!$A$52,'W10'!F$52,IF('R10'!$D58='W10'!$A$53,'W10'!F$53,IF('R10'!$D58='W10'!$A$54,'W10'!F$54,IF('R10'!$D58='W10'!$A$55,'W10'!F$55))))))))))),0)+ROUND(P30/'W10'!$E$5*'W10'!$E$10*(IF('R10'!$D58='W10'!$A$47,'W10'!G$47,IF('R10'!$D58='W10'!$A$48,'W10'!G$48,IF('R10'!$D58='W10'!$A$49,'W10'!G$49,IF('R10'!$D58='W10'!$A$50,'W10'!G$50,IF('R10'!$D58='W10'!$A$51,'W10'!G$51,IF('R10'!$D58='W10'!$A$52,'W10'!G$52,IF('R10'!$D58='W10'!$A$53,'W10'!G$53,IF('R10'!$D58='W10'!$A$54,'W10'!G$54,IF('R10'!$D58='W10'!$A$55,'W10'!G$55)))))))))),0))))))))</f>
        <v>0</v>
      </c>
      <c r="Q58" s="187">
        <f ca="1">IF(Q30=0,0,IF(AND($D58="F-SMRA",Q30=0),0,IF(AND($D58="F-SMRB",Q30=0),0,IF(AND($D58="F-SMRC",Q30=0),0,IF($D58='W10'!$A$68,'W10'!H323,IF($D58='W10'!$A$69,'W10'!H323,IF($D58='W10'!$A$70,'W10'!H323,ROUND(('R10'!Q30/'W10'!$F$5*'W10'!$F$9*(IF('R10'!$D58='W10'!$A$47,'W10'!H$47,IF('R10'!$D58='W10'!$A$48,'W10'!H$48,IF('R10'!$D58='W10'!$A$49,'W10'!H$49,IF('R10'!$D58='W10'!$A$50,'W10'!H$50,IF('R10'!$D58='W10'!$A$51,'W10'!H$51,IF('R10'!$D58='W10'!$A$52,'W10'!H$52,IF('R10'!$D58='W10'!$A$53,'W10'!H$53,IF('R10'!$D58='W10'!$A$54,'W10'!H$54,IF('R10'!$D58='W10'!$A$55,'W10'!H$55))))))))))),0)+ROUND(Q30/'W10'!$F$5*'W10'!$F$10*(IF('R10'!$D58='W10'!$A$47,'W10'!I$47,IF('R10'!$D58='W10'!$A$48,'W10'!I$48,IF('R10'!$D58='W10'!$A$49,'W10'!I$49,IF('R10'!$D58='W10'!$A$50,'W10'!I$50,IF('R10'!$D58='W10'!$A$51,'W10'!I$51,IF('R10'!$D58='W10'!$A$52,'W10'!I$52,IF('R10'!$D58='W10'!$A$53,'W10'!I$53,IF('R10'!$D58='W10'!$A$54,'W10'!I$54,IF('R10'!$D58='W10'!$A$55,'W10'!I$55)))))))))),0))))))))</f>
        <v>0</v>
      </c>
      <c r="R58" s="187">
        <f ca="1">IF(R30=0,0,IF(AND($D58="F-SMRA",R30=0),0,IF(AND($D58="F-SMRB",R30=0),0,IF(AND($D58="F-SMRC",R30=0),0,IF($D58='W10'!$A$68,'W10'!J323,IF($D58='W10'!$A$69,'W10'!J323,IF($D58='W10'!$A$70,'W10'!J323,ROUND(('R10'!R30/'W10'!$G$5*'W10'!$G$9*(IF('R10'!$D58='W10'!$A$47,'W10'!J$47,IF('R10'!$D58='W10'!$A$48,'W10'!J$48,IF('R10'!$D58='W10'!$A$49,'W10'!J$49,IF('R10'!$D58='W10'!$A$50,'W10'!J$50,IF('R10'!$D58='W10'!$A$51,'W10'!J$51,IF('R10'!$D58='W10'!$A$52,'W10'!J$52,IF('R10'!$D58='W10'!$A$53,'W10'!J$53,IF('R10'!$D58='W10'!$A$54,'W10'!J$54,IF('R10'!$D58='W10'!$A$55,'W10'!J$55))))))))))),0)+ROUND(R30/'W10'!$G$5*'W10'!$G$10*(IF('R10'!$D58='W10'!$A$47,'W10'!K$47,IF('R10'!$D58='W10'!$A$48,'W10'!K$48,IF('R10'!$D58='W10'!$A$49,'W10'!K$49,IF('R10'!$D58='W10'!$A$50,'W10'!K$50,IF('R10'!$D58='W10'!$A$51,'W10'!K$51,IF('R10'!$D58='W10'!$A$52,'W10'!K$52,IF('R10'!$D58='W10'!$A$53,'W10'!K$53,IF('R10'!$D58='W10'!$A$54,'W10'!K$54,IF('R10'!$D58='W10'!$A$55,'W10'!K$55)))))))))),0))))))))</f>
        <v>0</v>
      </c>
      <c r="S58" s="187">
        <f t="shared" ca="1" si="3"/>
        <v>0</v>
      </c>
      <c r="T58" s="248"/>
      <c r="U58" s="248"/>
      <c r="V58" s="248"/>
      <c r="W58" s="248"/>
      <c r="X58" s="248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</row>
    <row r="59" spans="1:51" hidden="1" x14ac:dyDescent="0.2">
      <c r="A59" s="92">
        <v>24</v>
      </c>
      <c r="B59" s="381">
        <f t="shared" si="2"/>
        <v>0</v>
      </c>
      <c r="C59" s="382"/>
      <c r="D59" s="199" t="s">
        <v>52</v>
      </c>
      <c r="E59" s="265" t="str">
        <f>IF($D59='W10'!$A$59,'W10'!B$59,IF($D59='W10'!$A$60,'W10'!B$60,IF($D59='W10'!$A$61,'W10'!B$61,IF($D59='W10'!$A$62,'W10'!B$62,IF($D59='W10'!$A$63,'W10'!B$63,IF($D59='W10'!$A$64,'W10'!B$64,IF($D59='W10'!$A$65,'W10'!B$65,IF($D59='W10'!$A$66,'W10'!B$66,IF($D59='W10'!$A$67,'W10'!B$67,IF($D59='W10'!$A$68,'W10'!B298,IF($D59='W10'!$A$69,'W10'!B298,IF($D59='W10'!$A$70,'W10'!B298,IF($D59='W10'!$A$71,"")))))))))))))</f>
        <v/>
      </c>
      <c r="F59" s="378" t="str">
        <f>IF($D59='W10'!$A$59,'W10'!C$59,IF($D59='W10'!$A$60,'W10'!C$60,IF($D59='W10'!$A$61,'W10'!C$61,IF($D59='W10'!$A$62,'W10'!C$62,IF($D59='W10'!$A$63,'W10'!C$63,IF($D59='W10'!$A$64,'W10'!C$64,IF($D59='W10'!$A$65,'W10'!C$65,IF($D59='W10'!$A$66,'W10'!C$66,IF($D59='W10'!$A$67,'W10'!C$67,IF($D59='W10'!$A$68,'W10'!D298,IF($D59='W10'!$A$69,'W10'!D298,IF($D59='W10'!$A$70,'W10'!D298,IF($D59='W10'!$A$71,"")))))))))))))</f>
        <v/>
      </c>
      <c r="G59" s="379"/>
      <c r="H59" s="366" t="str">
        <f>IF($D59='W10'!$A$59,'W10'!D$59,IF($D59='W10'!$A$60,'W10'!D$60,IF($D59='W10'!$A$61,'W10'!D$61,IF($D59='W10'!$A$62,'W10'!D$62,IF($D59='W10'!$A$63,'W10'!D$63,IF($D59='W10'!$A$64,'W10'!D$64,IF($D59='W10'!$A$65,'W10'!D$65,IF($D59='W10'!$A$66,'W10'!D$66,IF($D59='W10'!$A$67,'W10'!D$67,IF($D59='W10'!$A$68,'W10'!F298,IF($D59='W10'!$A$69,'W10'!F298,IF($D59='W10'!$A$70,'W10'!F298,IF($D59='W10'!$A$71,"")))))))))))))</f>
        <v/>
      </c>
      <c r="I59" s="367"/>
      <c r="J59" s="366" t="str">
        <f>IF($D59='W10'!$A$59,'W10'!E$59,IF($D59='W10'!$A$60,'W10'!E$60,IF($D59='W10'!$A$61,'W10'!E$61,IF($D59='W10'!$A$62,'W10'!E$62,IF($D59='W10'!$A$63,'W10'!E$63,IF($D59='W10'!$A$64,'W10'!E$64,IF($D59='W10'!$A$65,'W10'!E$65,IF($D59='W10'!$A$66,'W10'!E$66,IF($D59='W10'!$A$67,'W10'!E$67,IF($D59='W10'!$A$68,'W10'!H298,IF($D59='W10'!$A$69,'W10'!H298,IF($D59='W10'!$A$70,'W10'!H298,IF($D59='W10'!$A$71,"")))))))))))))</f>
        <v/>
      </c>
      <c r="K59" s="367"/>
      <c r="L59" s="366" t="str">
        <f>IF($D59='W10'!$A$59,'W10'!F$59,IF($D59='W10'!$A$60,'W10'!F$60,IF($D59='W10'!$A$61,'W10'!F$61,IF($D59='W10'!$A$62,'W10'!F$62,IF($D59='W10'!$A$63,'W10'!F$63,IF($D59='W10'!$A$64,'W10'!F$64,IF($D59='W10'!$A$65,'W10'!F$65,IF($D59='W10'!$A$66,'W10'!F$66,IF($D59='W10'!$A$67,'W10'!F$67,IF($D59='W10'!$A$68,'W10'!J298,IF($D59='W10'!$A$69,'W10'!J298,IF($D59='W10'!$A$70,'W10'!J298,IF($D59='W10'!$A$71,"")))))))))))))</f>
        <v/>
      </c>
      <c r="M59" s="367"/>
      <c r="N59" s="187">
        <f ca="1">IF(N31=0,0,IF(AND($D59="F-SMRA",N31=0),0,IF(AND($D59="F-SMRB",N31=0),0,IF(AND($D59="F-SMRC",N31=0),0,IF($D59='W10'!$A$68,'W10'!B324,IF($D59='W10'!$A$69,'W10'!B324,IF($D59='W10'!$A$70,'W10'!B324,ROUND(('R10'!N31/'W10'!$C$5*'W10'!$C$9*(IF('R10'!$D59='W10'!$A$47,'W10'!B$47,IF('R10'!$D59='W10'!$A$48,'W10'!B$48,IF('R10'!$D59='W10'!$A$49,'W10'!B$49,IF('R10'!$D59='W10'!$A$50,'W10'!B$50,IF('R10'!$D59='W10'!$A$51,'W10'!B$51,IF('R10'!$D59='W10'!$A$52,'W10'!B$52,IF('R10'!$D59='W10'!$A$53,'W10'!B$53,IF('R10'!$D59='W10'!$A$54,'W10'!B$54,IF('R10'!$D59='W10'!$A$55,'W10'!B$55))))))))))),0)+ROUND(N31/'W10'!$C$5*'W10'!$C$10*(IF('R10'!$D59='W10'!$A$47,'W10'!C$47,IF('R10'!$D59='W10'!$A$48,'W10'!C$48,IF('R10'!$D59='W10'!$A$49,'W10'!C$49,IF('R10'!$D59='W10'!$A$50,'W10'!C$50,IF('R10'!$D59='W10'!$A$51,'W10'!C$51,IF('R10'!$D59='W10'!$A$52,'W10'!C$52,IF('R10'!$D59='W10'!$A$53,'W10'!C$53,IF('R10'!$D59='W10'!$A$54,'W10'!C$54,IF('R10'!$D59='W10'!$A$55,'W10'!C$55)))))))))),0))))))))</f>
        <v>0</v>
      </c>
      <c r="O59" s="187">
        <f ca="1">IF(O31=0,0,IF(AND($D59="F-SMRA",O31=0),0,IF(AND($D59="F-SMRB",O31=0),0,IF(AND($D59="F-SMRC",O31=0),0,IF($D59='W10'!$A$68,'W10'!D324,IF($D59='W10'!$A$69,'W10'!D324,IF($D59='W10'!$A$70,'W10'!D324,ROUND(('R10'!O31/'W10'!$D$5*'W10'!$D$9*(IF('R10'!$D59='W10'!$A$47,'W10'!D$47,IF('R10'!$D59='W10'!$A$48,'W10'!D$48,IF('R10'!$D59='W10'!$A$49,'W10'!D$49,IF('R10'!$D59='W10'!$A$50,'W10'!D$50,IF('R10'!$D59='W10'!$A$51,'W10'!D$51,IF('R10'!$D59='W10'!$A$52,'W10'!D$52,IF('R10'!$D59='W10'!$A$53,'W10'!D$53,IF('R10'!$D59='W10'!$A$54,'W10'!D$54,IF('R10'!$D59='W10'!$A$55,'W10'!D$55))))))))))),0)+ROUND(O31/'W10'!$D$5*'W10'!$D$10*(IF('R10'!$D59='W10'!$A$47,'W10'!E$47,IF('R10'!$D59='W10'!$A$48,'W10'!E$48,IF('R10'!$D59='W10'!$A$49,'W10'!E$49,IF('R10'!$D59='W10'!$A$50,'W10'!E$50,IF('R10'!$D59='W10'!$A$51,'W10'!E$51,IF('R10'!$D59='W10'!$A$52,'W10'!E$52,IF('R10'!$D59='W10'!$A$53,'W10'!E$53,IF('R10'!$D59='W10'!$A$54,'W10'!E$54,IF('R10'!$D59='W10'!$A$55,'W10'!E$55)))))))))),0))))))))</f>
        <v>0</v>
      </c>
      <c r="P59" s="187">
        <f ca="1">IF(P31=0,0,IF(AND($D59="F-SMRA",P31=0),0,IF(AND($D59="F-SMRB",P31=0),0,IF(AND($D59="F-SMRC",P31=0),0,IF($D59='W10'!$A$68,'W10'!F324,IF($D59='W10'!$A$69,'W10'!F324,IF($D59='W10'!$A$70,'W10'!F324,ROUND(('R10'!P31/'W10'!$E$5*'W10'!$E$9*(IF('R10'!$D59='W10'!$A$47,'W10'!F$47,IF('R10'!$D59='W10'!$A$48,'W10'!F$48,IF('R10'!$D59='W10'!$A$49,'W10'!F$49,IF('R10'!$D59='W10'!$A$50,'W10'!F$50,IF('R10'!$D59='W10'!$A$51,'W10'!F$51,IF('R10'!$D59='W10'!$A$52,'W10'!F$52,IF('R10'!$D59='W10'!$A$53,'W10'!F$53,IF('R10'!$D59='W10'!$A$54,'W10'!F$54,IF('R10'!$D59='W10'!$A$55,'W10'!F$55))))))))))),0)+ROUND(P31/'W10'!$E$5*'W10'!$E$10*(IF('R10'!$D59='W10'!$A$47,'W10'!G$47,IF('R10'!$D59='W10'!$A$48,'W10'!G$48,IF('R10'!$D59='W10'!$A$49,'W10'!G$49,IF('R10'!$D59='W10'!$A$50,'W10'!G$50,IF('R10'!$D59='W10'!$A$51,'W10'!G$51,IF('R10'!$D59='W10'!$A$52,'W10'!G$52,IF('R10'!$D59='W10'!$A$53,'W10'!G$53,IF('R10'!$D59='W10'!$A$54,'W10'!G$54,IF('R10'!$D59='W10'!$A$55,'W10'!G$55)))))))))),0))))))))</f>
        <v>0</v>
      </c>
      <c r="Q59" s="187">
        <f ca="1">IF(Q31=0,0,IF(AND($D59="F-SMRA",Q31=0),0,IF(AND($D59="F-SMRB",Q31=0),0,IF(AND($D59="F-SMRC",Q31=0),0,IF($D59='W10'!$A$68,'W10'!H324,IF($D59='W10'!$A$69,'W10'!H324,IF($D59='W10'!$A$70,'W10'!H324,ROUND(('R10'!Q31/'W10'!$F$5*'W10'!$F$9*(IF('R10'!$D59='W10'!$A$47,'W10'!H$47,IF('R10'!$D59='W10'!$A$48,'W10'!H$48,IF('R10'!$D59='W10'!$A$49,'W10'!H$49,IF('R10'!$D59='W10'!$A$50,'W10'!H$50,IF('R10'!$D59='W10'!$A$51,'W10'!H$51,IF('R10'!$D59='W10'!$A$52,'W10'!H$52,IF('R10'!$D59='W10'!$A$53,'W10'!H$53,IF('R10'!$D59='W10'!$A$54,'W10'!H$54,IF('R10'!$D59='W10'!$A$55,'W10'!H$55))))))))))),0)+ROUND(Q31/'W10'!$F$5*'W10'!$F$10*(IF('R10'!$D59='W10'!$A$47,'W10'!I$47,IF('R10'!$D59='W10'!$A$48,'W10'!I$48,IF('R10'!$D59='W10'!$A$49,'W10'!I$49,IF('R10'!$D59='W10'!$A$50,'W10'!I$50,IF('R10'!$D59='W10'!$A$51,'W10'!I$51,IF('R10'!$D59='W10'!$A$52,'W10'!I$52,IF('R10'!$D59='W10'!$A$53,'W10'!I$53,IF('R10'!$D59='W10'!$A$54,'W10'!I$54,IF('R10'!$D59='W10'!$A$55,'W10'!I$55)))))))))),0))))))))</f>
        <v>0</v>
      </c>
      <c r="R59" s="187">
        <f ca="1">IF(R31=0,0,IF(AND($D59="F-SMRA",R31=0),0,IF(AND($D59="F-SMRB",R31=0),0,IF(AND($D59="F-SMRC",R31=0),0,IF($D59='W10'!$A$68,'W10'!J324,IF($D59='W10'!$A$69,'W10'!J324,IF($D59='W10'!$A$70,'W10'!J324,ROUND(('R10'!R31/'W10'!$G$5*'W10'!$G$9*(IF('R10'!$D59='W10'!$A$47,'W10'!J$47,IF('R10'!$D59='W10'!$A$48,'W10'!J$48,IF('R10'!$D59='W10'!$A$49,'W10'!J$49,IF('R10'!$D59='W10'!$A$50,'W10'!J$50,IF('R10'!$D59='W10'!$A$51,'W10'!J$51,IF('R10'!$D59='W10'!$A$52,'W10'!J$52,IF('R10'!$D59='W10'!$A$53,'W10'!J$53,IF('R10'!$D59='W10'!$A$54,'W10'!J$54,IF('R10'!$D59='W10'!$A$55,'W10'!J$55))))))))))),0)+ROUND(R31/'W10'!$G$5*'W10'!$G$10*(IF('R10'!$D59='W10'!$A$47,'W10'!K$47,IF('R10'!$D59='W10'!$A$48,'W10'!K$48,IF('R10'!$D59='W10'!$A$49,'W10'!K$49,IF('R10'!$D59='W10'!$A$50,'W10'!K$50,IF('R10'!$D59='W10'!$A$51,'W10'!K$51,IF('R10'!$D59='W10'!$A$52,'W10'!K$52,IF('R10'!$D59='W10'!$A$53,'W10'!K$53,IF('R10'!$D59='W10'!$A$54,'W10'!K$54,IF('R10'!$D59='W10'!$A$55,'W10'!K$55)))))))))),0))))))))</f>
        <v>0</v>
      </c>
      <c r="S59" s="187">
        <f t="shared" ca="1" si="3"/>
        <v>0</v>
      </c>
      <c r="T59" s="248"/>
      <c r="U59" s="248"/>
      <c r="V59" s="248"/>
      <c r="W59" s="248"/>
      <c r="X59" s="248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spans="1:51" x14ac:dyDescent="0.2">
      <c r="A60" s="360" t="s">
        <v>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2"/>
      <c r="N60" s="201">
        <f ca="1">ROUND(SUM(N36:N59),0)</f>
        <v>0</v>
      </c>
      <c r="O60" s="201">
        <f t="shared" ref="O60:S60" ca="1" si="4">SUM(O36:O59)</f>
        <v>0</v>
      </c>
      <c r="P60" s="201">
        <f t="shared" ca="1" si="4"/>
        <v>0</v>
      </c>
      <c r="Q60" s="201">
        <f t="shared" ca="1" si="4"/>
        <v>0</v>
      </c>
      <c r="R60" s="201">
        <f t="shared" ca="1" si="4"/>
        <v>0</v>
      </c>
      <c r="S60" s="201">
        <f t="shared" ca="1" si="4"/>
        <v>0</v>
      </c>
      <c r="T60" s="249"/>
      <c r="U60" s="249"/>
      <c r="V60" s="249"/>
      <c r="W60" s="249"/>
      <c r="X60" s="249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</row>
    <row r="61" spans="1:51" x14ac:dyDescent="0.2">
      <c r="A61" s="363" t="s">
        <v>21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5"/>
      <c r="N61" s="202">
        <f t="shared" ref="N61:S61" ca="1" si="5">N32+N60</f>
        <v>0</v>
      </c>
      <c r="O61" s="202">
        <f t="shared" ca="1" si="5"/>
        <v>0</v>
      </c>
      <c r="P61" s="202">
        <f t="shared" ca="1" si="5"/>
        <v>0</v>
      </c>
      <c r="Q61" s="202">
        <f t="shared" ca="1" si="5"/>
        <v>0</v>
      </c>
      <c r="R61" s="202">
        <f t="shared" ca="1" si="5"/>
        <v>0</v>
      </c>
      <c r="S61" s="202">
        <f t="shared" ca="1" si="5"/>
        <v>0</v>
      </c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</row>
    <row r="62" spans="1:51" x14ac:dyDescent="0.2"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</row>
    <row r="63" spans="1:51" x14ac:dyDescent="0.2">
      <c r="A63" s="346" t="s">
        <v>153</v>
      </c>
      <c r="B63" s="347"/>
      <c r="C63" s="34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06"/>
      <c r="O63" s="106"/>
      <c r="P63" s="106"/>
      <c r="Q63" s="106"/>
      <c r="R63" s="106"/>
      <c r="S63" s="106" t="str">
        <f t="shared" ref="S63" si="6">S35</f>
        <v>Total</v>
      </c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</row>
    <row r="64" spans="1:51" x14ac:dyDescent="0.2">
      <c r="A64" s="231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204"/>
      <c r="P64" s="204"/>
      <c r="Q64" s="204"/>
      <c r="R64" s="204"/>
      <c r="S64" s="87">
        <f>SUM(N64:R64)</f>
        <v>0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</row>
    <row r="65" spans="1:51" x14ac:dyDescent="0.2">
      <c r="A65" s="231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204"/>
      <c r="P65" s="204"/>
      <c r="Q65" s="204"/>
      <c r="R65" s="204"/>
      <c r="S65" s="87">
        <f t="shared" ref="S65:S72" si="7">SUM(N65:R65)</f>
        <v>0</v>
      </c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</row>
    <row r="66" spans="1:51" x14ac:dyDescent="0.2">
      <c r="A66" s="231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  <c r="O66" s="204"/>
      <c r="P66" s="204"/>
      <c r="Q66" s="204"/>
      <c r="R66" s="204"/>
      <c r="S66" s="87">
        <f t="shared" si="7"/>
        <v>0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</row>
    <row r="67" spans="1:51" hidden="1" x14ac:dyDescent="0.2">
      <c r="A67" s="231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4"/>
      <c r="O67" s="204"/>
      <c r="P67" s="204"/>
      <c r="Q67" s="204"/>
      <c r="R67" s="204"/>
      <c r="S67" s="87">
        <f t="shared" si="7"/>
        <v>0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</row>
    <row r="68" spans="1:51" hidden="1" x14ac:dyDescent="0.2">
      <c r="A68" s="231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4"/>
      <c r="S68" s="87">
        <f t="shared" si="7"/>
        <v>0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</row>
    <row r="69" spans="1:51" hidden="1" x14ac:dyDescent="0.2">
      <c r="A69" s="231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4"/>
      <c r="P69" s="204"/>
      <c r="Q69" s="204"/>
      <c r="R69" s="204"/>
      <c r="S69" s="87">
        <f t="shared" si="7"/>
        <v>0</v>
      </c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</row>
    <row r="70" spans="1:51" hidden="1" x14ac:dyDescent="0.2">
      <c r="A70" s="231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204"/>
      <c r="P70" s="204"/>
      <c r="Q70" s="204"/>
      <c r="R70" s="204"/>
      <c r="S70" s="87">
        <f t="shared" si="7"/>
        <v>0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</row>
    <row r="71" spans="1:51" hidden="1" x14ac:dyDescent="0.2">
      <c r="A71" s="231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204"/>
      <c r="P71" s="204"/>
      <c r="Q71" s="204"/>
      <c r="R71" s="204"/>
      <c r="S71" s="87">
        <f t="shared" si="7"/>
        <v>0</v>
      </c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</row>
    <row r="72" spans="1:51" hidden="1" x14ac:dyDescent="0.2">
      <c r="A72" s="231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204"/>
      <c r="P72" s="204"/>
      <c r="Q72" s="204"/>
      <c r="R72" s="204"/>
      <c r="S72" s="87">
        <f t="shared" si="7"/>
        <v>0</v>
      </c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</row>
    <row r="73" spans="1:51" x14ac:dyDescent="0.2">
      <c r="A73" s="348" t="s">
        <v>154</v>
      </c>
      <c r="B73" s="349"/>
      <c r="C73" s="3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50">
        <f>SUM(N64:N72)</f>
        <v>0</v>
      </c>
      <c r="O73" s="150">
        <f t="shared" ref="O73:R73" si="8">SUM(O64:O72)</f>
        <v>0</v>
      </c>
      <c r="P73" s="150">
        <f t="shared" si="8"/>
        <v>0</v>
      </c>
      <c r="Q73" s="150">
        <f t="shared" si="8"/>
        <v>0</v>
      </c>
      <c r="R73" s="150">
        <f t="shared" si="8"/>
        <v>0</v>
      </c>
      <c r="S73" s="150">
        <f>SUM(S64:S72)</f>
        <v>0</v>
      </c>
      <c r="T73" s="250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</row>
    <row r="74" spans="1:51" x14ac:dyDescent="0.2">
      <c r="A74" s="93"/>
      <c r="B74" s="62"/>
      <c r="C74" s="62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</row>
    <row r="75" spans="1:51" x14ac:dyDescent="0.2">
      <c r="A75" s="346" t="s">
        <v>65</v>
      </c>
      <c r="B75" s="347"/>
      <c r="C75" s="347"/>
      <c r="D75" s="55"/>
      <c r="E75" s="55"/>
      <c r="F75" s="55"/>
      <c r="G75" s="55"/>
      <c r="H75" s="55"/>
      <c r="I75" s="55"/>
      <c r="J75" s="55"/>
      <c r="K75" s="402" t="s">
        <v>140</v>
      </c>
      <c r="L75" s="402"/>
      <c r="M75" s="403"/>
      <c r="N75" s="106"/>
      <c r="O75" s="106"/>
      <c r="P75" s="106"/>
      <c r="Q75" s="106"/>
      <c r="R75" s="106"/>
      <c r="S75" s="106" t="str">
        <f t="shared" ref="S75" si="9">S63</f>
        <v>Total</v>
      </c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</row>
    <row r="76" spans="1:51" x14ac:dyDescent="0.2">
      <c r="A76" s="231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190" t="s">
        <v>192</v>
      </c>
      <c r="N76" s="204"/>
      <c r="O76" s="204"/>
      <c r="P76" s="204"/>
      <c r="Q76" s="204"/>
      <c r="R76" s="204"/>
      <c r="S76" s="86">
        <f>SUM(N76:R76)</f>
        <v>0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</row>
    <row r="77" spans="1:51" x14ac:dyDescent="0.2">
      <c r="A77" s="231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190" t="s">
        <v>192</v>
      </c>
      <c r="N77" s="204"/>
      <c r="O77" s="204"/>
      <c r="P77" s="204"/>
      <c r="Q77" s="204"/>
      <c r="R77" s="204"/>
      <c r="S77" s="86">
        <f t="shared" ref="S77:S85" si="10">SUM(N77:R77)</f>
        <v>0</v>
      </c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</row>
    <row r="78" spans="1:51" x14ac:dyDescent="0.2">
      <c r="A78" s="231" t="s">
        <v>189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190" t="s">
        <v>192</v>
      </c>
      <c r="N78" s="204"/>
      <c r="O78" s="204"/>
      <c r="P78" s="204"/>
      <c r="Q78" s="204"/>
      <c r="R78" s="204"/>
      <c r="S78" s="86">
        <f t="shared" si="10"/>
        <v>0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</row>
    <row r="79" spans="1:51" x14ac:dyDescent="0.2">
      <c r="A79" s="231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190" t="s">
        <v>192</v>
      </c>
      <c r="N79" s="204"/>
      <c r="O79" s="204"/>
      <c r="P79" s="204"/>
      <c r="Q79" s="204"/>
      <c r="R79" s="204"/>
      <c r="S79" s="86">
        <f t="shared" si="10"/>
        <v>0</v>
      </c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</row>
    <row r="80" spans="1:51" hidden="1" x14ac:dyDescent="0.2">
      <c r="A80" s="231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190" t="s">
        <v>192</v>
      </c>
      <c r="N80" s="204"/>
      <c r="O80" s="204"/>
      <c r="P80" s="204"/>
      <c r="Q80" s="204"/>
      <c r="R80" s="204"/>
      <c r="S80" s="86">
        <f t="shared" si="10"/>
        <v>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</row>
    <row r="81" spans="1:51" hidden="1" x14ac:dyDescent="0.2">
      <c r="A81" s="231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190" t="s">
        <v>192</v>
      </c>
      <c r="N81" s="204"/>
      <c r="O81" s="204"/>
      <c r="P81" s="204"/>
      <c r="Q81" s="204"/>
      <c r="R81" s="204"/>
      <c r="S81" s="86">
        <f t="shared" si="10"/>
        <v>0</v>
      </c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</row>
    <row r="82" spans="1:51" hidden="1" x14ac:dyDescent="0.2">
      <c r="A82" s="23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190" t="s">
        <v>192</v>
      </c>
      <c r="N82" s="204"/>
      <c r="O82" s="204"/>
      <c r="P82" s="204"/>
      <c r="Q82" s="204"/>
      <c r="R82" s="204"/>
      <c r="S82" s="86">
        <f t="shared" si="10"/>
        <v>0</v>
      </c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</row>
    <row r="83" spans="1:51" hidden="1" x14ac:dyDescent="0.2">
      <c r="A83" s="231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190" t="s">
        <v>192</v>
      </c>
      <c r="N83" s="204"/>
      <c r="O83" s="204"/>
      <c r="P83" s="204"/>
      <c r="Q83" s="204"/>
      <c r="R83" s="204"/>
      <c r="S83" s="86">
        <f t="shared" si="10"/>
        <v>0</v>
      </c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</row>
    <row r="84" spans="1:51" x14ac:dyDescent="0.2">
      <c r="A84" s="433" t="s">
        <v>190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5"/>
      <c r="N84" s="151">
        <f>SUMIF($M$76:$M$83,"No",N76:N83)</f>
        <v>0</v>
      </c>
      <c r="O84" s="151">
        <f t="shared" ref="O84:R84" si="11">SUMIF($M$76:$M$83,"No",O76:O83)</f>
        <v>0</v>
      </c>
      <c r="P84" s="151">
        <f t="shared" si="11"/>
        <v>0</v>
      </c>
      <c r="Q84" s="151">
        <f t="shared" si="11"/>
        <v>0</v>
      </c>
      <c r="R84" s="151">
        <f t="shared" si="11"/>
        <v>0</v>
      </c>
      <c r="S84" s="151">
        <f t="shared" si="10"/>
        <v>0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</row>
    <row r="85" spans="1:51" x14ac:dyDescent="0.2">
      <c r="A85" s="436" t="s">
        <v>191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8"/>
      <c r="N85" s="152">
        <f>SUMIF($M$76:$M$83,"Yes",N76:N83)</f>
        <v>0</v>
      </c>
      <c r="O85" s="152">
        <f t="shared" ref="O85:R85" si="12">SUMIF($M$76:$M$83,"Yes",O76:O83)</f>
        <v>0</v>
      </c>
      <c r="P85" s="152">
        <f t="shared" si="12"/>
        <v>0</v>
      </c>
      <c r="Q85" s="152">
        <f t="shared" si="12"/>
        <v>0</v>
      </c>
      <c r="R85" s="152">
        <f t="shared" si="12"/>
        <v>0</v>
      </c>
      <c r="S85" s="152">
        <f t="shared" si="10"/>
        <v>0</v>
      </c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</row>
    <row r="86" spans="1:51" x14ac:dyDescent="0.2">
      <c r="A86" s="346" t="s">
        <v>66</v>
      </c>
      <c r="B86" s="347"/>
      <c r="C86" s="34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89">
        <f>SUM(N76:N83)</f>
        <v>0</v>
      </c>
      <c r="O86" s="89">
        <f t="shared" ref="O86:R86" si="13">SUM(O76:O83)</f>
        <v>0</v>
      </c>
      <c r="P86" s="89">
        <f t="shared" si="13"/>
        <v>0</v>
      </c>
      <c r="Q86" s="89">
        <f t="shared" si="13"/>
        <v>0</v>
      </c>
      <c r="R86" s="89">
        <f t="shared" si="13"/>
        <v>0</v>
      </c>
      <c r="S86" s="89">
        <f>SUM(S76:S83)</f>
        <v>0</v>
      </c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</row>
    <row r="87" spans="1:51" x14ac:dyDescent="0.2"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</row>
    <row r="88" spans="1:51" x14ac:dyDescent="0.2">
      <c r="A88" s="346" t="s">
        <v>67</v>
      </c>
      <c r="B88" s="347"/>
      <c r="C88" s="34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106"/>
      <c r="O88" s="106"/>
      <c r="P88" s="106"/>
      <c r="Q88" s="106"/>
      <c r="R88" s="106"/>
      <c r="S88" s="106" t="str">
        <f t="shared" ref="S88" si="14">S75</f>
        <v>Total</v>
      </c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</row>
    <row r="89" spans="1:51" x14ac:dyDescent="0.2">
      <c r="A89" s="231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5"/>
      <c r="O89" s="205"/>
      <c r="P89" s="205"/>
      <c r="Q89" s="205"/>
      <c r="R89" s="205"/>
      <c r="S89" s="86">
        <f>SUM(N89:R89)</f>
        <v>0</v>
      </c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</row>
    <row r="90" spans="1:51" x14ac:dyDescent="0.2">
      <c r="A90" s="23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5"/>
      <c r="O90" s="205"/>
      <c r="P90" s="205"/>
      <c r="Q90" s="205"/>
      <c r="R90" s="205"/>
      <c r="S90" s="86">
        <f t="shared" ref="S90:S122" si="15">SUM(N90:R90)</f>
        <v>0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</row>
    <row r="91" spans="1:51" x14ac:dyDescent="0.2">
      <c r="A91" s="231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5"/>
      <c r="O91" s="205"/>
      <c r="P91" s="205"/>
      <c r="Q91" s="205"/>
      <c r="R91" s="205"/>
      <c r="S91" s="86">
        <f t="shared" si="15"/>
        <v>0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x14ac:dyDescent="0.2">
      <c r="A92" s="23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5"/>
      <c r="O92" s="205"/>
      <c r="P92" s="205"/>
      <c r="Q92" s="205"/>
      <c r="R92" s="205"/>
      <c r="S92" s="86">
        <f t="shared" si="15"/>
        <v>0</v>
      </c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x14ac:dyDescent="0.2">
      <c r="A93" s="23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5"/>
      <c r="O93" s="205"/>
      <c r="P93" s="205"/>
      <c r="Q93" s="205"/>
      <c r="R93" s="205"/>
      <c r="S93" s="86">
        <f t="shared" si="15"/>
        <v>0</v>
      </c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x14ac:dyDescent="0.2">
      <c r="A94" s="23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5"/>
      <c r="O94" s="205"/>
      <c r="P94" s="205"/>
      <c r="Q94" s="205"/>
      <c r="R94" s="205"/>
      <c r="S94" s="86">
        <f t="shared" si="15"/>
        <v>0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x14ac:dyDescent="0.2">
      <c r="A95" s="231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5"/>
      <c r="O95" s="205"/>
      <c r="P95" s="205"/>
      <c r="Q95" s="205"/>
      <c r="R95" s="205"/>
      <c r="S95" s="86">
        <f t="shared" si="15"/>
        <v>0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x14ac:dyDescent="0.2">
      <c r="A96" s="231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5"/>
      <c r="O96" s="205"/>
      <c r="P96" s="205"/>
      <c r="Q96" s="205"/>
      <c r="R96" s="205"/>
      <c r="S96" s="86">
        <f t="shared" si="15"/>
        <v>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hidden="1" x14ac:dyDescent="0.2">
      <c r="A97" s="23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5"/>
      <c r="O97" s="205"/>
      <c r="P97" s="205"/>
      <c r="Q97" s="205"/>
      <c r="R97" s="205"/>
      <c r="S97" s="86">
        <f t="shared" si="15"/>
        <v>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hidden="1" x14ac:dyDescent="0.2">
      <c r="A98" s="23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5"/>
      <c r="O98" s="205"/>
      <c r="P98" s="205"/>
      <c r="Q98" s="205"/>
      <c r="R98" s="205"/>
      <c r="S98" s="86">
        <f t="shared" si="15"/>
        <v>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hidden="1" x14ac:dyDescent="0.2">
      <c r="A99" s="231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5"/>
      <c r="O99" s="205"/>
      <c r="P99" s="205"/>
      <c r="Q99" s="205"/>
      <c r="R99" s="205"/>
      <c r="S99" s="86">
        <f t="shared" si="15"/>
        <v>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hidden="1" x14ac:dyDescent="0.2">
      <c r="A100" s="231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5"/>
      <c r="O100" s="205"/>
      <c r="P100" s="205"/>
      <c r="Q100" s="205"/>
      <c r="R100" s="205"/>
      <c r="S100" s="86">
        <f t="shared" si="15"/>
        <v>0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hidden="1" x14ac:dyDescent="0.2">
      <c r="A101" s="231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5"/>
      <c r="O101" s="205"/>
      <c r="P101" s="205"/>
      <c r="Q101" s="205"/>
      <c r="R101" s="205"/>
      <c r="S101" s="86">
        <f t="shared" si="15"/>
        <v>0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hidden="1" x14ac:dyDescent="0.2">
      <c r="A102" s="23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5"/>
      <c r="O102" s="205"/>
      <c r="P102" s="205"/>
      <c r="Q102" s="205"/>
      <c r="R102" s="205"/>
      <c r="S102" s="86">
        <f t="shared" si="15"/>
        <v>0</v>
      </c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hidden="1" x14ac:dyDescent="0.2">
      <c r="A103" s="23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5"/>
      <c r="O103" s="205"/>
      <c r="P103" s="205"/>
      <c r="Q103" s="205"/>
      <c r="R103" s="205"/>
      <c r="S103" s="86">
        <f t="shared" si="15"/>
        <v>0</v>
      </c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</row>
    <row r="104" spans="1:51" hidden="1" x14ac:dyDescent="0.2">
      <c r="A104" s="231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5"/>
      <c r="O104" s="205"/>
      <c r="P104" s="205"/>
      <c r="Q104" s="205"/>
      <c r="R104" s="205"/>
      <c r="S104" s="86">
        <f t="shared" si="15"/>
        <v>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</row>
    <row r="105" spans="1:51" hidden="1" x14ac:dyDescent="0.2">
      <c r="A105" s="231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5"/>
      <c r="O105" s="205"/>
      <c r="P105" s="205"/>
      <c r="Q105" s="205"/>
      <c r="R105" s="205"/>
      <c r="S105" s="86">
        <f t="shared" si="15"/>
        <v>0</v>
      </c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</row>
    <row r="106" spans="1:51" hidden="1" x14ac:dyDescent="0.2">
      <c r="A106" s="23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5"/>
      <c r="O106" s="205"/>
      <c r="P106" s="205"/>
      <c r="Q106" s="205"/>
      <c r="R106" s="205"/>
      <c r="S106" s="86">
        <f t="shared" si="15"/>
        <v>0</v>
      </c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</row>
    <row r="107" spans="1:51" hidden="1" x14ac:dyDescent="0.2">
      <c r="A107" s="231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5"/>
      <c r="O107" s="205"/>
      <c r="P107" s="205"/>
      <c r="Q107" s="205"/>
      <c r="R107" s="205"/>
      <c r="S107" s="86">
        <f t="shared" si="15"/>
        <v>0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</row>
    <row r="108" spans="1:51" hidden="1" x14ac:dyDescent="0.2">
      <c r="A108" s="231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5"/>
      <c r="O108" s="205"/>
      <c r="P108" s="205"/>
      <c r="Q108" s="205"/>
      <c r="R108" s="205"/>
      <c r="S108" s="86">
        <f t="shared" si="15"/>
        <v>0</v>
      </c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</row>
    <row r="109" spans="1:51" hidden="1" x14ac:dyDescent="0.2">
      <c r="A109" s="231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5"/>
      <c r="O109" s="205"/>
      <c r="P109" s="205"/>
      <c r="Q109" s="205"/>
      <c r="R109" s="205"/>
      <c r="S109" s="86">
        <f t="shared" si="15"/>
        <v>0</v>
      </c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</row>
    <row r="110" spans="1:51" hidden="1" x14ac:dyDescent="0.2">
      <c r="A110" s="231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5"/>
      <c r="O110" s="205"/>
      <c r="P110" s="205"/>
      <c r="Q110" s="205"/>
      <c r="R110" s="205"/>
      <c r="S110" s="86">
        <f t="shared" si="15"/>
        <v>0</v>
      </c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</row>
    <row r="111" spans="1:51" hidden="1" x14ac:dyDescent="0.2">
      <c r="A111" s="23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5"/>
      <c r="O111" s="205"/>
      <c r="P111" s="205"/>
      <c r="Q111" s="205"/>
      <c r="R111" s="205"/>
      <c r="S111" s="86">
        <f t="shared" si="15"/>
        <v>0</v>
      </c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</row>
    <row r="112" spans="1:51" hidden="1" x14ac:dyDescent="0.2">
      <c r="A112" s="231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5"/>
      <c r="O112" s="205"/>
      <c r="P112" s="205"/>
      <c r="Q112" s="205"/>
      <c r="R112" s="205"/>
      <c r="S112" s="86">
        <f t="shared" si="15"/>
        <v>0</v>
      </c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</row>
    <row r="113" spans="1:51" hidden="1" x14ac:dyDescent="0.2">
      <c r="A113" s="231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5"/>
      <c r="O113" s="205"/>
      <c r="P113" s="205"/>
      <c r="Q113" s="205"/>
      <c r="R113" s="205"/>
      <c r="S113" s="86">
        <f t="shared" si="15"/>
        <v>0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</row>
    <row r="114" spans="1:51" hidden="1" x14ac:dyDescent="0.2">
      <c r="A114" s="231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5"/>
      <c r="O114" s="205"/>
      <c r="P114" s="205"/>
      <c r="Q114" s="205"/>
      <c r="R114" s="205"/>
      <c r="S114" s="86">
        <f t="shared" si="15"/>
        <v>0</v>
      </c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</row>
    <row r="115" spans="1:51" hidden="1" x14ac:dyDescent="0.2">
      <c r="A115" s="231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5"/>
      <c r="O115" s="205"/>
      <c r="P115" s="205"/>
      <c r="Q115" s="205"/>
      <c r="R115" s="205"/>
      <c r="S115" s="86">
        <f t="shared" si="15"/>
        <v>0</v>
      </c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</row>
    <row r="116" spans="1:51" hidden="1" x14ac:dyDescent="0.2">
      <c r="A116" s="23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5"/>
      <c r="O116" s="205"/>
      <c r="P116" s="205"/>
      <c r="Q116" s="205"/>
      <c r="R116" s="205"/>
      <c r="S116" s="86">
        <f t="shared" si="15"/>
        <v>0</v>
      </c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</row>
    <row r="117" spans="1:51" hidden="1" x14ac:dyDescent="0.2">
      <c r="A117" s="231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5"/>
      <c r="O117" s="205"/>
      <c r="P117" s="205"/>
      <c r="Q117" s="205"/>
      <c r="R117" s="205"/>
      <c r="S117" s="86">
        <f t="shared" si="15"/>
        <v>0</v>
      </c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</row>
    <row r="118" spans="1:51" hidden="1" x14ac:dyDescent="0.2">
      <c r="A118" s="231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5"/>
      <c r="O118" s="205"/>
      <c r="P118" s="205"/>
      <c r="Q118" s="205"/>
      <c r="R118" s="205"/>
      <c r="S118" s="86">
        <f t="shared" si="15"/>
        <v>0</v>
      </c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</row>
    <row r="119" spans="1:51" hidden="1" x14ac:dyDescent="0.2">
      <c r="A119" s="231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5"/>
      <c r="O119" s="205"/>
      <c r="P119" s="205"/>
      <c r="Q119" s="205"/>
      <c r="R119" s="205"/>
      <c r="S119" s="86">
        <f t="shared" si="15"/>
        <v>0</v>
      </c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</row>
    <row r="120" spans="1:51" hidden="1" x14ac:dyDescent="0.2">
      <c r="A120" s="231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5"/>
      <c r="O120" s="205"/>
      <c r="P120" s="205"/>
      <c r="Q120" s="205"/>
      <c r="R120" s="205"/>
      <c r="S120" s="86">
        <f t="shared" si="15"/>
        <v>0</v>
      </c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</row>
    <row r="121" spans="1:51" hidden="1" x14ac:dyDescent="0.2">
      <c r="A121" s="231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5"/>
      <c r="O121" s="205"/>
      <c r="P121" s="205"/>
      <c r="Q121" s="205"/>
      <c r="R121" s="205"/>
      <c r="S121" s="86">
        <f t="shared" si="15"/>
        <v>0</v>
      </c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</row>
    <row r="122" spans="1:51" hidden="1" x14ac:dyDescent="0.2">
      <c r="A122" s="231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5"/>
      <c r="O122" s="205"/>
      <c r="P122" s="205"/>
      <c r="Q122" s="205"/>
      <c r="R122" s="205"/>
      <c r="S122" s="86">
        <f t="shared" si="15"/>
        <v>0</v>
      </c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</row>
    <row r="123" spans="1:51" x14ac:dyDescent="0.2">
      <c r="A123" s="348" t="s">
        <v>68</v>
      </c>
      <c r="B123" s="349"/>
      <c r="C123" s="3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53">
        <f>SUM(N89:N122)</f>
        <v>0</v>
      </c>
      <c r="O123" s="153">
        <f t="shared" ref="O123:R123" si="16">SUM(O89:O122)</f>
        <v>0</v>
      </c>
      <c r="P123" s="153">
        <f t="shared" si="16"/>
        <v>0</v>
      </c>
      <c r="Q123" s="153">
        <f t="shared" si="16"/>
        <v>0</v>
      </c>
      <c r="R123" s="153">
        <f t="shared" si="16"/>
        <v>0</v>
      </c>
      <c r="S123" s="153">
        <f>SUM(S89:S122)</f>
        <v>0</v>
      </c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</row>
    <row r="124" spans="1:51" x14ac:dyDescent="0.2"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</row>
    <row r="125" spans="1:51" x14ac:dyDescent="0.2">
      <c r="A125" s="346" t="s">
        <v>69</v>
      </c>
      <c r="B125" s="347"/>
      <c r="C125" s="347"/>
      <c r="D125" s="55"/>
      <c r="E125" s="55"/>
      <c r="F125" s="55"/>
      <c r="G125" s="55"/>
      <c r="H125" s="55"/>
      <c r="I125" s="55"/>
      <c r="J125" s="55"/>
      <c r="K125" s="350" t="s">
        <v>188</v>
      </c>
      <c r="L125" s="351"/>
      <c r="M125" s="352"/>
      <c r="N125" s="106"/>
      <c r="O125" s="106"/>
      <c r="P125" s="106"/>
      <c r="Q125" s="106"/>
      <c r="R125" s="106"/>
      <c r="S125" s="106" t="str">
        <f t="shared" ref="S125" si="17">S88</f>
        <v>Total</v>
      </c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</row>
    <row r="126" spans="1:51" x14ac:dyDescent="0.2">
      <c r="A126" s="231"/>
      <c r="B126" s="203"/>
      <c r="C126" s="203"/>
      <c r="D126" s="203"/>
      <c r="E126" s="203"/>
      <c r="F126" s="203"/>
      <c r="G126" s="203"/>
      <c r="H126" s="203"/>
      <c r="I126" s="203"/>
      <c r="J126" s="203"/>
      <c r="K126" s="343" t="s">
        <v>111</v>
      </c>
      <c r="L126" s="344"/>
      <c r="M126" s="345"/>
      <c r="N126" s="206"/>
      <c r="O126" s="206"/>
      <c r="P126" s="206"/>
      <c r="Q126" s="206"/>
      <c r="R126" s="206"/>
      <c r="S126" s="86">
        <f>SUM(N126:R126)</f>
        <v>0</v>
      </c>
      <c r="T126" s="249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</row>
    <row r="127" spans="1:51" x14ac:dyDescent="0.2">
      <c r="A127" s="231"/>
      <c r="B127" s="203"/>
      <c r="C127" s="203"/>
      <c r="D127" s="203"/>
      <c r="E127" s="203"/>
      <c r="F127" s="203"/>
      <c r="G127" s="203"/>
      <c r="H127" s="203"/>
      <c r="I127" s="203"/>
      <c r="J127" s="203"/>
      <c r="K127" s="343" t="s">
        <v>111</v>
      </c>
      <c r="L127" s="344"/>
      <c r="M127" s="345"/>
      <c r="N127" s="206"/>
      <c r="O127" s="206"/>
      <c r="P127" s="206"/>
      <c r="Q127" s="206"/>
      <c r="R127" s="206"/>
      <c r="S127" s="86">
        <f t="shared" ref="S127:S140" si="18">SUM(N127:R127)</f>
        <v>0</v>
      </c>
      <c r="T127" s="249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</row>
    <row r="128" spans="1:51" x14ac:dyDescent="0.2">
      <c r="A128" s="231"/>
      <c r="B128" s="203"/>
      <c r="C128" s="203"/>
      <c r="D128" s="203"/>
      <c r="E128" s="203"/>
      <c r="F128" s="203"/>
      <c r="G128" s="203"/>
      <c r="H128" s="203"/>
      <c r="I128" s="203"/>
      <c r="J128" s="203"/>
      <c r="K128" s="343" t="s">
        <v>111</v>
      </c>
      <c r="L128" s="344"/>
      <c r="M128" s="345"/>
      <c r="N128" s="206"/>
      <c r="O128" s="206"/>
      <c r="P128" s="206"/>
      <c r="Q128" s="206"/>
      <c r="R128" s="206"/>
      <c r="S128" s="86">
        <f t="shared" si="18"/>
        <v>0</v>
      </c>
      <c r="T128" s="249"/>
      <c r="U128" s="249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</row>
    <row r="129" spans="1:51" x14ac:dyDescent="0.2">
      <c r="A129" s="231"/>
      <c r="B129" s="203"/>
      <c r="C129" s="203"/>
      <c r="D129" s="203"/>
      <c r="E129" s="203"/>
      <c r="F129" s="203"/>
      <c r="G129" s="203"/>
      <c r="H129" s="203"/>
      <c r="I129" s="203"/>
      <c r="J129" s="203"/>
      <c r="K129" s="343" t="s">
        <v>111</v>
      </c>
      <c r="L129" s="344"/>
      <c r="M129" s="345"/>
      <c r="N129" s="206"/>
      <c r="O129" s="206"/>
      <c r="P129" s="206"/>
      <c r="Q129" s="206"/>
      <c r="R129" s="206"/>
      <c r="S129" s="86">
        <f t="shared" si="18"/>
        <v>0</v>
      </c>
      <c r="T129" s="249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</row>
    <row r="130" spans="1:51" x14ac:dyDescent="0.2">
      <c r="A130" s="231"/>
      <c r="B130" s="203"/>
      <c r="C130" s="203"/>
      <c r="D130" s="203"/>
      <c r="E130" s="203"/>
      <c r="F130" s="203"/>
      <c r="G130" s="203"/>
      <c r="H130" s="203"/>
      <c r="I130" s="203"/>
      <c r="J130" s="203"/>
      <c r="K130" s="343" t="s">
        <v>111</v>
      </c>
      <c r="L130" s="344"/>
      <c r="M130" s="345"/>
      <c r="N130" s="206"/>
      <c r="O130" s="206"/>
      <c r="P130" s="206"/>
      <c r="Q130" s="206"/>
      <c r="R130" s="206"/>
      <c r="S130" s="86">
        <f t="shared" si="18"/>
        <v>0</v>
      </c>
      <c r="T130" s="249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</row>
    <row r="131" spans="1:51" x14ac:dyDescent="0.2">
      <c r="A131" s="231"/>
      <c r="B131" s="203"/>
      <c r="C131" s="203"/>
      <c r="D131" s="203"/>
      <c r="E131" s="203"/>
      <c r="F131" s="203"/>
      <c r="G131" s="203"/>
      <c r="H131" s="203"/>
      <c r="I131" s="203"/>
      <c r="J131" s="203"/>
      <c r="K131" s="343" t="s">
        <v>111</v>
      </c>
      <c r="L131" s="344"/>
      <c r="M131" s="345"/>
      <c r="N131" s="206"/>
      <c r="O131" s="206"/>
      <c r="P131" s="206"/>
      <c r="Q131" s="206"/>
      <c r="R131" s="206"/>
      <c r="S131" s="86">
        <f t="shared" si="18"/>
        <v>0</v>
      </c>
      <c r="T131" s="249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</row>
    <row r="132" spans="1:51" x14ac:dyDescent="0.2">
      <c r="A132" s="231"/>
      <c r="B132" s="203"/>
      <c r="C132" s="203"/>
      <c r="D132" s="203"/>
      <c r="E132" s="203"/>
      <c r="F132" s="203"/>
      <c r="G132" s="203"/>
      <c r="H132" s="203"/>
      <c r="I132" s="203"/>
      <c r="J132" s="203"/>
      <c r="K132" s="343" t="s">
        <v>111</v>
      </c>
      <c r="L132" s="344"/>
      <c r="M132" s="345"/>
      <c r="N132" s="206"/>
      <c r="O132" s="206"/>
      <c r="P132" s="206"/>
      <c r="Q132" s="206"/>
      <c r="R132" s="206"/>
      <c r="S132" s="86">
        <f t="shared" si="18"/>
        <v>0</v>
      </c>
      <c r="T132" s="249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</row>
    <row r="133" spans="1:51" hidden="1" x14ac:dyDescent="0.2">
      <c r="A133" s="231"/>
      <c r="B133" s="203"/>
      <c r="C133" s="203"/>
      <c r="D133" s="203"/>
      <c r="E133" s="203"/>
      <c r="F133" s="203"/>
      <c r="G133" s="203"/>
      <c r="H133" s="203"/>
      <c r="I133" s="203"/>
      <c r="J133" s="203"/>
      <c r="K133" s="343" t="s">
        <v>111</v>
      </c>
      <c r="L133" s="344"/>
      <c r="M133" s="345"/>
      <c r="N133" s="206"/>
      <c r="O133" s="206"/>
      <c r="P133" s="206"/>
      <c r="Q133" s="206"/>
      <c r="R133" s="206"/>
      <c r="S133" s="86">
        <f t="shared" si="18"/>
        <v>0</v>
      </c>
      <c r="T133" s="249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</row>
    <row r="134" spans="1:51" hidden="1" x14ac:dyDescent="0.2">
      <c r="A134" s="231"/>
      <c r="B134" s="203"/>
      <c r="C134" s="203"/>
      <c r="D134" s="203"/>
      <c r="E134" s="203"/>
      <c r="F134" s="203"/>
      <c r="G134" s="203"/>
      <c r="H134" s="203"/>
      <c r="I134" s="203"/>
      <c r="J134" s="203"/>
      <c r="K134" s="343" t="s">
        <v>111</v>
      </c>
      <c r="L134" s="344"/>
      <c r="M134" s="345"/>
      <c r="N134" s="206"/>
      <c r="O134" s="206"/>
      <c r="P134" s="206"/>
      <c r="Q134" s="206"/>
      <c r="R134" s="206"/>
      <c r="S134" s="86">
        <f t="shared" si="18"/>
        <v>0</v>
      </c>
      <c r="T134" s="249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</row>
    <row r="135" spans="1:51" hidden="1" x14ac:dyDescent="0.2">
      <c r="A135" s="231"/>
      <c r="B135" s="203"/>
      <c r="C135" s="203"/>
      <c r="D135" s="203"/>
      <c r="E135" s="203"/>
      <c r="F135" s="203"/>
      <c r="G135" s="203"/>
      <c r="H135" s="203"/>
      <c r="I135" s="203"/>
      <c r="J135" s="203"/>
      <c r="K135" s="343" t="s">
        <v>111</v>
      </c>
      <c r="L135" s="344"/>
      <c r="M135" s="345"/>
      <c r="N135" s="206"/>
      <c r="O135" s="206"/>
      <c r="P135" s="206"/>
      <c r="Q135" s="206"/>
      <c r="R135" s="206"/>
      <c r="S135" s="86">
        <f t="shared" si="18"/>
        <v>0</v>
      </c>
      <c r="T135" s="249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</row>
    <row r="136" spans="1:51" hidden="1" x14ac:dyDescent="0.2">
      <c r="A136" s="231"/>
      <c r="B136" s="203"/>
      <c r="C136" s="203"/>
      <c r="D136" s="203"/>
      <c r="E136" s="203"/>
      <c r="F136" s="203"/>
      <c r="G136" s="203"/>
      <c r="H136" s="203"/>
      <c r="I136" s="203"/>
      <c r="J136" s="203"/>
      <c r="K136" s="343" t="s">
        <v>111</v>
      </c>
      <c r="L136" s="344"/>
      <c r="M136" s="345"/>
      <c r="N136" s="206"/>
      <c r="O136" s="206"/>
      <c r="P136" s="206"/>
      <c r="Q136" s="206"/>
      <c r="R136" s="206"/>
      <c r="S136" s="86">
        <f t="shared" si="18"/>
        <v>0</v>
      </c>
      <c r="T136" s="249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</row>
    <row r="137" spans="1:51" hidden="1" x14ac:dyDescent="0.2">
      <c r="A137" s="231"/>
      <c r="B137" s="203"/>
      <c r="C137" s="203"/>
      <c r="D137" s="203"/>
      <c r="E137" s="203"/>
      <c r="F137" s="203"/>
      <c r="G137" s="203"/>
      <c r="H137" s="203"/>
      <c r="I137" s="203"/>
      <c r="J137" s="203"/>
      <c r="K137" s="343" t="s">
        <v>111</v>
      </c>
      <c r="L137" s="344"/>
      <c r="M137" s="345"/>
      <c r="N137" s="206"/>
      <c r="O137" s="206"/>
      <c r="P137" s="206"/>
      <c r="Q137" s="206"/>
      <c r="R137" s="206"/>
      <c r="S137" s="86">
        <f t="shared" si="18"/>
        <v>0</v>
      </c>
      <c r="T137" s="249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</row>
    <row r="138" spans="1:51" hidden="1" x14ac:dyDescent="0.2">
      <c r="A138" s="231"/>
      <c r="B138" s="203"/>
      <c r="C138" s="203"/>
      <c r="D138" s="203"/>
      <c r="E138" s="203"/>
      <c r="F138" s="203"/>
      <c r="G138" s="203"/>
      <c r="H138" s="203"/>
      <c r="I138" s="203"/>
      <c r="J138" s="203"/>
      <c r="K138" s="343" t="s">
        <v>111</v>
      </c>
      <c r="L138" s="344"/>
      <c r="M138" s="345"/>
      <c r="N138" s="206"/>
      <c r="O138" s="206"/>
      <c r="P138" s="206"/>
      <c r="Q138" s="206"/>
      <c r="R138" s="206"/>
      <c r="S138" s="86">
        <f t="shared" si="18"/>
        <v>0</v>
      </c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</row>
    <row r="139" spans="1:51" hidden="1" x14ac:dyDescent="0.2">
      <c r="A139" s="231"/>
      <c r="B139" s="203"/>
      <c r="C139" s="203"/>
      <c r="D139" s="203"/>
      <c r="E139" s="203"/>
      <c r="F139" s="203"/>
      <c r="G139" s="203"/>
      <c r="H139" s="203"/>
      <c r="I139" s="203"/>
      <c r="J139" s="203"/>
      <c r="K139" s="343" t="s">
        <v>111</v>
      </c>
      <c r="L139" s="344"/>
      <c r="M139" s="345"/>
      <c r="N139" s="206"/>
      <c r="O139" s="206"/>
      <c r="P139" s="206"/>
      <c r="Q139" s="206"/>
      <c r="R139" s="206"/>
      <c r="S139" s="86">
        <f t="shared" si="18"/>
        <v>0</v>
      </c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</row>
    <row r="140" spans="1:51" hidden="1" x14ac:dyDescent="0.2">
      <c r="A140" s="231"/>
      <c r="B140" s="203"/>
      <c r="C140" s="203"/>
      <c r="D140" s="203"/>
      <c r="E140" s="203"/>
      <c r="F140" s="203"/>
      <c r="G140" s="203"/>
      <c r="H140" s="203"/>
      <c r="I140" s="203"/>
      <c r="J140" s="203"/>
      <c r="K140" s="343" t="s">
        <v>111</v>
      </c>
      <c r="L140" s="344"/>
      <c r="M140" s="345"/>
      <c r="N140" s="206"/>
      <c r="O140" s="206"/>
      <c r="P140" s="206"/>
      <c r="Q140" s="206"/>
      <c r="R140" s="206"/>
      <c r="S140" s="86">
        <f t="shared" si="18"/>
        <v>0</v>
      </c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</row>
    <row r="141" spans="1:51" x14ac:dyDescent="0.2">
      <c r="A141" s="348" t="s">
        <v>70</v>
      </c>
      <c r="B141" s="349"/>
      <c r="C141" s="349"/>
      <c r="D141" s="149"/>
      <c r="E141" s="149"/>
      <c r="F141" s="149"/>
      <c r="G141" s="149"/>
      <c r="H141" s="149"/>
      <c r="I141" s="149"/>
      <c r="J141" s="149"/>
      <c r="K141" s="154"/>
      <c r="L141" s="149"/>
      <c r="M141" s="155"/>
      <c r="N141" s="153">
        <f>SUM(N126:N140)</f>
        <v>0</v>
      </c>
      <c r="O141" s="153">
        <f t="shared" ref="O141:R141" si="19">SUM(O126:O140)</f>
        <v>0</v>
      </c>
      <c r="P141" s="153">
        <f t="shared" si="19"/>
        <v>0</v>
      </c>
      <c r="Q141" s="153">
        <f t="shared" si="19"/>
        <v>0</v>
      </c>
      <c r="R141" s="153">
        <f t="shared" si="19"/>
        <v>0</v>
      </c>
      <c r="S141" s="153">
        <f>SUM(S126:S140)</f>
        <v>0</v>
      </c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</row>
    <row r="142" spans="1:51" x14ac:dyDescent="0.2">
      <c r="A142" s="324" t="s">
        <v>187</v>
      </c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6"/>
      <c r="N142" s="137">
        <f>IF($K126="IC of Above",N126,0)+IF($K127="IC of Above",N127,0)+IF($K128="IC of Above",N128,0)+IF($K129="IC of Above",N129,0)+IF($K130="IC of Above",N130,0)+IF($K131="IC of Above",N131,0)+IF($K132="IC of Above",N132,0)+IF($K133="IC of Above",N133,0)+IF($K134="IC of Above",N134,0)+IF($K135="IC of Above",N135,0)+IF($K136="IC of Above",N136,0)+IF($K137="IC of Above",N137,0)+IF($K138="IC of Above",N138,0)+IF($K139="IC of Above",N139,0)+IF($K140="IC of Above",N140,0)</f>
        <v>0</v>
      </c>
      <c r="O142" s="137">
        <f t="shared" ref="O142:R142" si="20">IF($K126="IC of Above",O126,0)+IF($K127="IC of Above",O127,0)+IF($K128="IC of Above",O128,0)+IF($K129="IC of Above",O129,0)+IF($K130="IC of Above",O130,0)+IF($K131="IC of Above",O131,0)+IF($K132="IC of Above",O132,0)+IF($K133="IC of Above",O133,0)+IF($K134="IC of Above",O134,0)+IF($K135="IC of Above",O135,0)+IF($K136="IC of Above",O136,0)+IF($K137="IC of Above",O137,0)+IF($K138="IC of Above",O138,0)+IF($K139="IC of Above",O139,0)+IF($K140="IC of Above",O140,0)</f>
        <v>0</v>
      </c>
      <c r="P142" s="137">
        <f t="shared" si="20"/>
        <v>0</v>
      </c>
      <c r="Q142" s="137">
        <f t="shared" si="20"/>
        <v>0</v>
      </c>
      <c r="R142" s="137">
        <f t="shared" si="20"/>
        <v>0</v>
      </c>
      <c r="S142" s="137">
        <f>SUM(N142:R142)</f>
        <v>0</v>
      </c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</row>
    <row r="143" spans="1:51" x14ac:dyDescent="0.2">
      <c r="A143" s="103" t="s">
        <v>71</v>
      </c>
      <c r="B143" s="104"/>
      <c r="C143" s="104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106"/>
      <c r="O143" s="106"/>
      <c r="P143" s="106"/>
      <c r="Q143" s="106"/>
      <c r="R143" s="106"/>
      <c r="S143" s="106" t="str">
        <f t="shared" ref="S143" si="21">S125</f>
        <v>Total</v>
      </c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</row>
    <row r="144" spans="1:51" x14ac:dyDescent="0.2">
      <c r="A144" s="231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14"/>
      <c r="O144" s="214"/>
      <c r="P144" s="214"/>
      <c r="Q144" s="214"/>
      <c r="R144" s="214"/>
      <c r="S144" s="90">
        <f>SUM(N144:R144)</f>
        <v>0</v>
      </c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</row>
    <row r="145" spans="1:51" x14ac:dyDescent="0.2">
      <c r="A145" s="231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14"/>
      <c r="O145" s="214"/>
      <c r="P145" s="214"/>
      <c r="Q145" s="214"/>
      <c r="R145" s="214"/>
      <c r="S145" s="90">
        <f t="shared" ref="S145:S152" si="22">SUM(N145:R145)</f>
        <v>0</v>
      </c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</row>
    <row r="146" spans="1:51" x14ac:dyDescent="0.2">
      <c r="A146" s="231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14"/>
      <c r="O146" s="214"/>
      <c r="P146" s="214"/>
      <c r="Q146" s="214"/>
      <c r="R146" s="214"/>
      <c r="S146" s="90">
        <f t="shared" si="22"/>
        <v>0</v>
      </c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</row>
    <row r="147" spans="1:51" hidden="1" x14ac:dyDescent="0.2">
      <c r="A147" s="231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14"/>
      <c r="O147" s="214"/>
      <c r="P147" s="214"/>
      <c r="Q147" s="214"/>
      <c r="R147" s="214"/>
      <c r="S147" s="87">
        <f t="shared" si="22"/>
        <v>0</v>
      </c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</row>
    <row r="148" spans="1:51" hidden="1" x14ac:dyDescent="0.2">
      <c r="A148" s="231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14"/>
      <c r="O148" s="214"/>
      <c r="P148" s="214"/>
      <c r="Q148" s="214"/>
      <c r="R148" s="214"/>
      <c r="S148" s="87">
        <f t="shared" si="22"/>
        <v>0</v>
      </c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</row>
    <row r="149" spans="1:51" hidden="1" x14ac:dyDescent="0.2">
      <c r="A149" s="231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14"/>
      <c r="O149" s="214"/>
      <c r="P149" s="214"/>
      <c r="Q149" s="214"/>
      <c r="R149" s="214"/>
      <c r="S149" s="87">
        <f t="shared" si="22"/>
        <v>0</v>
      </c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</row>
    <row r="150" spans="1:51" hidden="1" x14ac:dyDescent="0.2">
      <c r="A150" s="231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14"/>
      <c r="O150" s="214"/>
      <c r="P150" s="214"/>
      <c r="Q150" s="214"/>
      <c r="R150" s="214"/>
      <c r="S150" s="87">
        <f t="shared" si="22"/>
        <v>0</v>
      </c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</row>
    <row r="151" spans="1:51" hidden="1" x14ac:dyDescent="0.2">
      <c r="A151" s="231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14"/>
      <c r="O151" s="214"/>
      <c r="P151" s="214"/>
      <c r="Q151" s="214"/>
      <c r="R151" s="214"/>
      <c r="S151" s="87">
        <f t="shared" si="22"/>
        <v>0</v>
      </c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</row>
    <row r="152" spans="1:51" hidden="1" x14ac:dyDescent="0.2">
      <c r="A152" s="231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4"/>
      <c r="O152" s="204"/>
      <c r="P152" s="204"/>
      <c r="Q152" s="204"/>
      <c r="R152" s="204"/>
      <c r="S152" s="87">
        <f t="shared" si="22"/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</row>
    <row r="153" spans="1:51" x14ac:dyDescent="0.2">
      <c r="A153" s="156" t="s">
        <v>72</v>
      </c>
      <c r="B153" s="157"/>
      <c r="C153" s="157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58">
        <f>SUM(N144:N152)</f>
        <v>0</v>
      </c>
      <c r="O153" s="158">
        <f t="shared" ref="O153:R153" si="23">SUM(O144:O152)</f>
        <v>0</v>
      </c>
      <c r="P153" s="158">
        <f t="shared" si="23"/>
        <v>0</v>
      </c>
      <c r="Q153" s="158">
        <f t="shared" si="23"/>
        <v>0</v>
      </c>
      <c r="R153" s="158">
        <f t="shared" si="23"/>
        <v>0</v>
      </c>
      <c r="S153" s="159">
        <f>SUM(S144:S152)</f>
        <v>0</v>
      </c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</row>
    <row r="154" spans="1:51" x14ac:dyDescent="0.2">
      <c r="A154" s="268" t="s">
        <v>73</v>
      </c>
      <c r="B154" s="269"/>
      <c r="C154" s="269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89">
        <f>N141+N153</f>
        <v>0</v>
      </c>
      <c r="O154" s="89">
        <f t="shared" ref="O154:S154" si="24">O141+O153</f>
        <v>0</v>
      </c>
      <c r="P154" s="89">
        <f t="shared" si="24"/>
        <v>0</v>
      </c>
      <c r="Q154" s="89">
        <f t="shared" si="24"/>
        <v>0</v>
      </c>
      <c r="R154" s="89">
        <f t="shared" si="24"/>
        <v>0</v>
      </c>
      <c r="S154" s="91">
        <f t="shared" si="24"/>
        <v>0</v>
      </c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</row>
    <row r="155" spans="1:51" x14ac:dyDescent="0.2"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</row>
    <row r="156" spans="1:51" x14ac:dyDescent="0.2">
      <c r="A156" s="346" t="s">
        <v>74</v>
      </c>
      <c r="B156" s="347"/>
      <c r="C156" s="347"/>
      <c r="D156" s="49"/>
      <c r="E156" s="49"/>
      <c r="F156" s="49"/>
      <c r="G156" s="49"/>
      <c r="H156" s="49"/>
      <c r="I156" s="49"/>
      <c r="J156" s="49"/>
      <c r="K156" s="49"/>
      <c r="L156" s="49"/>
      <c r="M156" s="58"/>
      <c r="N156" s="106" t="s">
        <v>134</v>
      </c>
      <c r="O156" s="106" t="s">
        <v>135</v>
      </c>
      <c r="P156" s="106" t="s">
        <v>136</v>
      </c>
      <c r="Q156" s="106" t="s">
        <v>139</v>
      </c>
      <c r="R156" s="106" t="s">
        <v>137</v>
      </c>
      <c r="S156" s="106" t="s">
        <v>13</v>
      </c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</row>
    <row r="157" spans="1:51" x14ac:dyDescent="0.2">
      <c r="A157" s="59" t="s">
        <v>77</v>
      </c>
      <c r="B157" s="269"/>
      <c r="C157" s="269"/>
      <c r="D157" s="119" t="s">
        <v>162</v>
      </c>
      <c r="E157" s="60"/>
      <c r="F157" s="120" t="s">
        <v>133</v>
      </c>
      <c r="G157" s="49"/>
      <c r="H157" s="49"/>
      <c r="I157" s="50" t="s">
        <v>155</v>
      </c>
      <c r="J157" s="50" t="s">
        <v>156</v>
      </c>
      <c r="K157" s="50" t="s">
        <v>157</v>
      </c>
      <c r="L157" s="50" t="s">
        <v>158</v>
      </c>
      <c r="M157" s="50" t="s">
        <v>159</v>
      </c>
      <c r="N157" s="71" t="s">
        <v>78</v>
      </c>
      <c r="O157" s="55"/>
      <c r="P157" s="55"/>
      <c r="Q157" s="55"/>
      <c r="R157" s="55"/>
      <c r="S157" s="5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</row>
    <row r="158" spans="1:51" x14ac:dyDescent="0.2">
      <c r="A158" s="372" t="s">
        <v>161</v>
      </c>
      <c r="B158" s="373"/>
      <c r="C158" s="374"/>
      <c r="D158" s="370" t="s">
        <v>179</v>
      </c>
      <c r="E158" s="371"/>
      <c r="F158" s="209" t="s">
        <v>218</v>
      </c>
      <c r="G158" s="409" t="s">
        <v>163</v>
      </c>
      <c r="H158" s="410"/>
      <c r="I158" s="210" t="s">
        <v>160</v>
      </c>
      <c r="J158" s="210" t="s">
        <v>160</v>
      </c>
      <c r="K158" s="210" t="s">
        <v>160</v>
      </c>
      <c r="L158" s="210" t="s">
        <v>160</v>
      </c>
      <c r="M158" s="210" t="s">
        <v>160</v>
      </c>
      <c r="N158" s="163">
        <f>SUM(N159:N170)</f>
        <v>0</v>
      </c>
      <c r="O158" s="163">
        <f t="shared" ref="O158:R158" si="25">SUM(O159:O170)</f>
        <v>0</v>
      </c>
      <c r="P158" s="163">
        <f t="shared" si="25"/>
        <v>0</v>
      </c>
      <c r="Q158" s="163">
        <f>SUM(Q159:Q170)</f>
        <v>0</v>
      </c>
      <c r="R158" s="163">
        <f t="shared" si="25"/>
        <v>0</v>
      </c>
      <c r="S158" s="164">
        <f>SUM(N158:R158)</f>
        <v>0</v>
      </c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</row>
    <row r="159" spans="1:51" x14ac:dyDescent="0.2">
      <c r="A159" s="368"/>
      <c r="B159" s="377"/>
      <c r="C159" s="369"/>
      <c r="D159" s="368" t="s">
        <v>75</v>
      </c>
      <c r="E159" s="369"/>
      <c r="F159" s="207">
        <v>0.1</v>
      </c>
      <c r="G159" s="375">
        <v>17892</v>
      </c>
      <c r="H159" s="376"/>
      <c r="I159" s="208"/>
      <c r="J159" s="208"/>
      <c r="K159" s="208"/>
      <c r="L159" s="208"/>
      <c r="M159" s="208"/>
      <c r="N159" s="64">
        <f>IF(I$158="#GSRs",ROUND(('W10'!K162*I159)/3*'W10'!C$30,0),ROUND('R10'!I159/3*'W10'!K162,0))</f>
        <v>0</v>
      </c>
      <c r="O159" s="64">
        <f>IF(J$158="#GSRs",ROUND(('W10'!L162*J159)/3*'W10'!D$30,0),ROUND('R10'!J159/3*'W10'!L162,0))</f>
        <v>0</v>
      </c>
      <c r="P159" s="64">
        <f>IF(K$158="#GSRs",ROUND(('W10'!M162*K159)/3*'W10'!E$30,0),ROUND('R10'!K159/3*'W10'!M162,0))</f>
        <v>0</v>
      </c>
      <c r="Q159" s="64">
        <f>IF(L$158="#GSRs",ROUND(('W10'!N162*L159)/3*'W10'!F$30,0),ROUND('R10'!L159/3*'W10'!N162,0))</f>
        <v>0</v>
      </c>
      <c r="R159" s="64">
        <f>IF(M$158="#GSRs",ROUND(('W10'!O162*M159)/3*'W10'!G$30,0),ROUND('R10'!M159/3*'W10'!O162,0))</f>
        <v>0</v>
      </c>
      <c r="S159" s="64">
        <f>SUM(N159:R159)</f>
        <v>0</v>
      </c>
      <c r="T159" s="246"/>
      <c r="U159" s="246"/>
      <c r="V159" s="246"/>
      <c r="W159" s="246"/>
      <c r="X159" s="246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</row>
    <row r="160" spans="1:51" x14ac:dyDescent="0.2">
      <c r="A160" s="368"/>
      <c r="B160" s="377"/>
      <c r="C160" s="369"/>
      <c r="D160" s="368" t="s">
        <v>75</v>
      </c>
      <c r="E160" s="369"/>
      <c r="F160" s="207">
        <v>0.1</v>
      </c>
      <c r="G160" s="375">
        <v>17892</v>
      </c>
      <c r="H160" s="376"/>
      <c r="I160" s="208"/>
      <c r="J160" s="208"/>
      <c r="K160" s="208"/>
      <c r="L160" s="208"/>
      <c r="M160" s="208"/>
      <c r="N160" s="64">
        <f>IF(I$158="#GSRs",ROUND(('W10'!K163*I160)/3*'W10'!C$30,0),ROUND('R10'!I160/3*'W10'!K163,0))</f>
        <v>0</v>
      </c>
      <c r="O160" s="64">
        <f>IF(J$158="#GSRs",ROUND(('W10'!L163*J160)/3*'W10'!D$30,0),ROUND('R10'!J160/3*'W10'!L163,0))</f>
        <v>0</v>
      </c>
      <c r="P160" s="64">
        <f>IF(K$158="#GSRs",ROUND(('W10'!M163*K160)/3*'W10'!E$30,0),ROUND('R10'!K160/3*'W10'!M163,0))</f>
        <v>0</v>
      </c>
      <c r="Q160" s="64">
        <f>IF(L$158="#GSRs",ROUND(('W10'!N163*L160)/3*'W10'!F$30,0),ROUND('R10'!L160/3*'W10'!N163,0))</f>
        <v>0</v>
      </c>
      <c r="R160" s="64">
        <f>IF(M$158="#GSRs",ROUND(('W10'!O163*M160)/3*'W10'!G$30,0),ROUND('R10'!M160/3*'W10'!O163,0))</f>
        <v>0</v>
      </c>
      <c r="S160" s="64">
        <f t="shared" ref="S160" si="26">SUM(N160:R160)</f>
        <v>0</v>
      </c>
      <c r="T160" s="246"/>
      <c r="U160" s="246"/>
      <c r="V160" s="246"/>
      <c r="W160" s="246"/>
      <c r="X160" s="246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</row>
    <row r="161" spans="1:51" x14ac:dyDescent="0.2">
      <c r="A161" s="368"/>
      <c r="B161" s="377"/>
      <c r="C161" s="369"/>
      <c r="D161" s="368" t="s">
        <v>76</v>
      </c>
      <c r="E161" s="369"/>
      <c r="F161" s="207">
        <v>0.1</v>
      </c>
      <c r="G161" s="375">
        <v>32994</v>
      </c>
      <c r="H161" s="376"/>
      <c r="I161" s="208"/>
      <c r="J161" s="208"/>
      <c r="K161" s="208"/>
      <c r="L161" s="208"/>
      <c r="M161" s="208"/>
      <c r="N161" s="64">
        <f>IF(I$158="#GSRs",ROUND(('W10'!K164*I161)/3*'W10'!C$30,0),ROUND('R10'!I161/3*'W10'!K164,0))</f>
        <v>0</v>
      </c>
      <c r="O161" s="64">
        <f>IF(J$158="#GSRs",ROUND(('W10'!L164*J161)/3*'W10'!D$30,0),ROUND('R10'!J161/3*'W10'!L164,0))</f>
        <v>0</v>
      </c>
      <c r="P161" s="64">
        <f>IF(K$158="#GSRs",ROUND(('W10'!M164*K161)/3*'W10'!E$30,0),ROUND('R10'!K161/3*'W10'!M164,0))</f>
        <v>0</v>
      </c>
      <c r="Q161" s="64">
        <f>IF(L$158="#GSRs",ROUND(('W10'!N164*L161)/3*'W10'!F$30,0),ROUND('R10'!L161/3*'W10'!N164,0))</f>
        <v>0</v>
      </c>
      <c r="R161" s="64">
        <f>IF(M$158="#GSRs",ROUND(('W10'!O164*M161)/3*'W10'!G$30,0),ROUND('R10'!M161/3*'W10'!O164,0))</f>
        <v>0</v>
      </c>
      <c r="S161" s="64">
        <f>SUM(N161:R161)</f>
        <v>0</v>
      </c>
      <c r="T161" s="246"/>
      <c r="U161" s="246"/>
      <c r="V161" s="246"/>
      <c r="W161" s="246"/>
      <c r="X161" s="246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</row>
    <row r="162" spans="1:51" x14ac:dyDescent="0.2">
      <c r="A162" s="368"/>
      <c r="B162" s="377"/>
      <c r="C162" s="369"/>
      <c r="D162" s="368" t="s">
        <v>75</v>
      </c>
      <c r="E162" s="369"/>
      <c r="F162" s="207">
        <v>0.1</v>
      </c>
      <c r="G162" s="375">
        <v>17892</v>
      </c>
      <c r="H162" s="376"/>
      <c r="I162" s="208"/>
      <c r="J162" s="208"/>
      <c r="K162" s="208"/>
      <c r="L162" s="208"/>
      <c r="M162" s="208"/>
      <c r="N162" s="64">
        <f>IF(I$158="#GSRs",ROUND(('W10'!K165*I162)/3*'W10'!C$30,0),ROUND('R10'!I162/3*'W10'!K165,0))</f>
        <v>0</v>
      </c>
      <c r="O162" s="64">
        <f>IF(J$158="#GSRs",ROUND(('W10'!L165*J162)/3*'W10'!D$30,0),ROUND('R10'!J162/3*'W10'!L165,0))</f>
        <v>0</v>
      </c>
      <c r="P162" s="64">
        <f>IF(K$158="#GSRs",ROUND(('W10'!M165*K162)/3*'W10'!E$30,0),ROUND('R10'!K162/3*'W10'!M165,0))</f>
        <v>0</v>
      </c>
      <c r="Q162" s="64">
        <f>IF(L$158="#GSRs",ROUND(('W10'!N165*L162)/3*'W10'!F$30,0),ROUND('R10'!L162/3*'W10'!N165,0))</f>
        <v>0</v>
      </c>
      <c r="R162" s="64">
        <f>IF(M$158="#GSRs",ROUND(('W10'!O165*M162)/3*'W10'!G$30,0),ROUND('R10'!M162/3*'W10'!O165,0))</f>
        <v>0</v>
      </c>
      <c r="S162" s="64">
        <f t="shared" ref="S162:S170" si="27">SUM(N162:R162)</f>
        <v>0</v>
      </c>
      <c r="T162" s="246"/>
      <c r="U162" s="246"/>
      <c r="V162" s="246"/>
      <c r="W162" s="246"/>
      <c r="X162" s="246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</row>
    <row r="163" spans="1:51" x14ac:dyDescent="0.2">
      <c r="A163" s="368"/>
      <c r="B163" s="377"/>
      <c r="C163" s="369"/>
      <c r="D163" s="368" t="s">
        <v>75</v>
      </c>
      <c r="E163" s="369"/>
      <c r="F163" s="207">
        <v>0.1</v>
      </c>
      <c r="G163" s="375">
        <v>17892</v>
      </c>
      <c r="H163" s="376"/>
      <c r="I163" s="208"/>
      <c r="J163" s="208"/>
      <c r="K163" s="208"/>
      <c r="L163" s="208"/>
      <c r="M163" s="208"/>
      <c r="N163" s="64">
        <f>IF(I$158="#GSRs",ROUND(('W10'!K166*I163)/3*'W10'!C$30,0),ROUND('R10'!I163/3*'W10'!K166,0))</f>
        <v>0</v>
      </c>
      <c r="O163" s="64">
        <f>IF(J$158="#GSRs",ROUND(('W10'!L166*J163)/3*'W10'!D$30,0),ROUND('R10'!J163/3*'W10'!L166,0))</f>
        <v>0</v>
      </c>
      <c r="P163" s="64">
        <f>IF(K$158="#GSRs",ROUND(('W10'!M166*K163)/3*'W10'!E$30,0),ROUND('R10'!K163/3*'W10'!M166,0))</f>
        <v>0</v>
      </c>
      <c r="Q163" s="64">
        <f>IF(L$158="#GSRs",ROUND(('W10'!N166*L163)/3*'W10'!F$30,0),ROUND('R10'!L163/3*'W10'!N166,0))</f>
        <v>0</v>
      </c>
      <c r="R163" s="64">
        <f>IF(M$158="#GSRs",ROUND(('W10'!O166*M163)/3*'W10'!G$30,0),ROUND('R10'!M163/3*'W10'!O166,0))</f>
        <v>0</v>
      </c>
      <c r="S163" s="64">
        <f t="shared" si="27"/>
        <v>0</v>
      </c>
      <c r="T163" s="246"/>
      <c r="U163" s="246"/>
      <c r="V163" s="246"/>
      <c r="W163" s="246"/>
      <c r="X163" s="246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</row>
    <row r="164" spans="1:51" ht="11.45" hidden="1" customHeight="1" x14ac:dyDescent="0.2">
      <c r="A164" s="368"/>
      <c r="B164" s="377"/>
      <c r="C164" s="369"/>
      <c r="D164" s="368" t="s">
        <v>75</v>
      </c>
      <c r="E164" s="369"/>
      <c r="F164" s="207">
        <v>0.1</v>
      </c>
      <c r="G164" s="375">
        <v>17892</v>
      </c>
      <c r="H164" s="376"/>
      <c r="I164" s="208"/>
      <c r="J164" s="208"/>
      <c r="K164" s="208"/>
      <c r="L164" s="208"/>
      <c r="M164" s="208"/>
      <c r="N164" s="64">
        <f>IF(I$158="#GSRs",ROUND(('W10'!K167*I164)/3*'W10'!C$30,0),ROUND('R10'!I164/3*'W10'!K167,0))</f>
        <v>0</v>
      </c>
      <c r="O164" s="64">
        <f>IF(J$158="#GSRs",ROUND(('W10'!L167*J164)/3*'W10'!D$30,0),ROUND('R10'!J164/3*'W10'!L167,0))</f>
        <v>0</v>
      </c>
      <c r="P164" s="64">
        <f>IF(K$158="#GSRs",ROUND(('W10'!M167*K164)/3*'W10'!E$30,0),ROUND('R10'!K164/3*'W10'!M167,0))</f>
        <v>0</v>
      </c>
      <c r="Q164" s="64">
        <f>IF(L$158="#GSRs",ROUND(('W10'!N167*L164)/3*'W10'!F$30,0),ROUND('R10'!L164/3*'W10'!N167,0))</f>
        <v>0</v>
      </c>
      <c r="R164" s="64">
        <f>IF(M$158="#GSRs",ROUND(('W10'!O167*M164)/3*'W10'!G$30,0),ROUND('R10'!M164/3*'W10'!O167,0))</f>
        <v>0</v>
      </c>
      <c r="S164" s="64">
        <f t="shared" si="27"/>
        <v>0</v>
      </c>
      <c r="T164" s="246"/>
      <c r="U164" s="246"/>
      <c r="V164" s="246"/>
      <c r="W164" s="246"/>
      <c r="X164" s="246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</row>
    <row r="165" spans="1:51" ht="11.45" hidden="1" customHeight="1" x14ac:dyDescent="0.2">
      <c r="A165" s="368"/>
      <c r="B165" s="377"/>
      <c r="C165" s="369"/>
      <c r="D165" s="368" t="s">
        <v>75</v>
      </c>
      <c r="E165" s="369"/>
      <c r="F165" s="207">
        <v>0.1</v>
      </c>
      <c r="G165" s="375">
        <v>17892</v>
      </c>
      <c r="H165" s="376"/>
      <c r="I165" s="208"/>
      <c r="J165" s="208"/>
      <c r="K165" s="208"/>
      <c r="L165" s="208"/>
      <c r="M165" s="208"/>
      <c r="N165" s="64">
        <f>IF(I$158="#GSRs",ROUND(('W10'!K168*I165)/3*'W10'!C$30,0),ROUND('R10'!I165/3*'W10'!K168,0))</f>
        <v>0</v>
      </c>
      <c r="O165" s="64">
        <f>IF(J$158="#GSRs",ROUND(('W10'!L168*J165)/3*'W10'!D$30,0),ROUND('R10'!J165/3*'W10'!L168,0))</f>
        <v>0</v>
      </c>
      <c r="P165" s="64">
        <f>IF(K$158="#GSRs",ROUND(('W10'!M168*K165)/3*'W10'!E$30,0),ROUND('R10'!K165/3*'W10'!M168,0))</f>
        <v>0</v>
      </c>
      <c r="Q165" s="64">
        <f>IF(L$158="#GSRs",ROUND(('W10'!N168*L165)/3*'W10'!F$30,0),ROUND('R10'!L165/3*'W10'!N168,0))</f>
        <v>0</v>
      </c>
      <c r="R165" s="64">
        <f>IF(M$158="#GSRs",ROUND(('W10'!O168*M165)/3*'W10'!G$30,0),ROUND('R10'!M165/3*'W10'!O168,0))</f>
        <v>0</v>
      </c>
      <c r="S165" s="64">
        <f t="shared" si="27"/>
        <v>0</v>
      </c>
      <c r="T165" s="246"/>
      <c r="U165" s="246"/>
      <c r="V165" s="246"/>
      <c r="W165" s="246"/>
      <c r="X165" s="246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</row>
    <row r="166" spans="1:51" ht="10.9" hidden="1" customHeight="1" x14ac:dyDescent="0.2">
      <c r="A166" s="368"/>
      <c r="B166" s="377"/>
      <c r="C166" s="369"/>
      <c r="D166" s="368" t="s">
        <v>75</v>
      </c>
      <c r="E166" s="369"/>
      <c r="F166" s="207">
        <v>0.1</v>
      </c>
      <c r="G166" s="375">
        <v>17892</v>
      </c>
      <c r="H166" s="376"/>
      <c r="I166" s="208"/>
      <c r="J166" s="208"/>
      <c r="K166" s="208"/>
      <c r="L166" s="208"/>
      <c r="M166" s="208"/>
      <c r="N166" s="64">
        <f>IF(I$158="#GSRs",ROUND(('W10'!K169*I166)/3*'W10'!C$30,0),ROUND('R10'!I166/3*'W10'!K169,0))</f>
        <v>0</v>
      </c>
      <c r="O166" s="64">
        <f>IF(J$158="#GSRs",ROUND(('W10'!L169*J166)/3*'W10'!D$30,0),ROUND('R10'!J166/3*'W10'!L169,0))</f>
        <v>0</v>
      </c>
      <c r="P166" s="64">
        <f>IF(K$158="#GSRs",ROUND(('W10'!M169*K166)/3*'W10'!E$30,0),ROUND('R10'!K166/3*'W10'!M169,0))</f>
        <v>0</v>
      </c>
      <c r="Q166" s="64">
        <f>IF(L$158="#GSRs",ROUND(('W10'!N169*L166)/3*'W10'!F$30,0),ROUND('R10'!L166/3*'W10'!N169,0))</f>
        <v>0</v>
      </c>
      <c r="R166" s="64">
        <f>IF(M$158="#GSRs",ROUND(('W10'!O169*M166)/3*'W10'!G$30,0),ROUND('R10'!M166/3*'W10'!O169,0))</f>
        <v>0</v>
      </c>
      <c r="S166" s="64">
        <f t="shared" si="27"/>
        <v>0</v>
      </c>
      <c r="T166" s="246"/>
      <c r="U166" s="246"/>
      <c r="V166" s="246"/>
      <c r="W166" s="246"/>
      <c r="X166" s="246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</row>
    <row r="167" spans="1:51" ht="11.45" hidden="1" customHeight="1" x14ac:dyDescent="0.2">
      <c r="A167" s="368"/>
      <c r="B167" s="377"/>
      <c r="C167" s="369"/>
      <c r="D167" s="368" t="s">
        <v>75</v>
      </c>
      <c r="E167" s="369"/>
      <c r="F167" s="207">
        <v>0.1</v>
      </c>
      <c r="G167" s="375">
        <v>17892</v>
      </c>
      <c r="H167" s="376"/>
      <c r="I167" s="208"/>
      <c r="J167" s="208"/>
      <c r="K167" s="208"/>
      <c r="L167" s="208"/>
      <c r="M167" s="208"/>
      <c r="N167" s="64">
        <f>IF(I$158="#GSRs",ROUND(('W10'!K170*I167)/3*'W10'!C$30,0),ROUND('R10'!I167/3*'W10'!K170,0))</f>
        <v>0</v>
      </c>
      <c r="O167" s="64">
        <f>IF(J$158="#GSRs",ROUND(('W10'!L170*J167)/3*'W10'!D$30,0),ROUND('R10'!J167/3*'W10'!L170,0))</f>
        <v>0</v>
      </c>
      <c r="P167" s="64">
        <f>IF(K$158="#GSRs",ROUND(('W10'!M170*K167)/3*'W10'!E$30,0),ROUND('R10'!K167/3*'W10'!M170,0))</f>
        <v>0</v>
      </c>
      <c r="Q167" s="64">
        <f>IF(L$158="#GSRs",ROUND(('W10'!N170*L167)/3*'W10'!F$30,0),ROUND('R10'!L167/3*'W10'!N170,0))</f>
        <v>0</v>
      </c>
      <c r="R167" s="64">
        <f>IF(M$158="#GSRs",ROUND(('W10'!O170*M167)/3*'W10'!G$30,0),ROUND('R10'!M167/3*'W10'!O170,0))</f>
        <v>0</v>
      </c>
      <c r="S167" s="64">
        <f t="shared" si="27"/>
        <v>0</v>
      </c>
      <c r="T167" s="246"/>
      <c r="U167" s="246"/>
      <c r="V167" s="246"/>
      <c r="W167" s="246"/>
      <c r="X167" s="246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</row>
    <row r="168" spans="1:51" ht="11.45" hidden="1" customHeight="1" x14ac:dyDescent="0.2">
      <c r="A168" s="368"/>
      <c r="B168" s="377"/>
      <c r="C168" s="369"/>
      <c r="D168" s="368" t="s">
        <v>75</v>
      </c>
      <c r="E168" s="369"/>
      <c r="F168" s="207">
        <v>0.1</v>
      </c>
      <c r="G168" s="375">
        <v>17892</v>
      </c>
      <c r="H168" s="376"/>
      <c r="I168" s="208"/>
      <c r="J168" s="208"/>
      <c r="K168" s="208"/>
      <c r="L168" s="208"/>
      <c r="M168" s="208"/>
      <c r="N168" s="64">
        <f>IF(I$158="#GSRs",ROUND(('W10'!K171*I168)/3*'W10'!C$30,0),ROUND('R10'!I168/3*'W10'!K171,0))</f>
        <v>0</v>
      </c>
      <c r="O168" s="64">
        <f>IF(J$158="#GSRs",ROUND(('W10'!L171*J168)/3*'W10'!D$30,0),ROUND('R10'!J168/3*'W10'!L171,0))</f>
        <v>0</v>
      </c>
      <c r="P168" s="64">
        <f>IF(K$158="#GSRs",ROUND(('W10'!M171*K168)/3*'W10'!E$30,0),ROUND('R10'!K168/3*'W10'!M171,0))</f>
        <v>0</v>
      </c>
      <c r="Q168" s="64">
        <f>IF(L$158="#GSRs",ROUND(('W10'!N171*L168)/3*'W10'!F$30,0),ROUND('R10'!L168/3*'W10'!N171,0))</f>
        <v>0</v>
      </c>
      <c r="R168" s="64">
        <f>IF(M$158="#GSRs",ROUND(('W10'!O171*M168)/3*'W10'!G$30,0),ROUND('R10'!M168/3*'W10'!O171,0))</f>
        <v>0</v>
      </c>
      <c r="S168" s="64">
        <f t="shared" si="27"/>
        <v>0</v>
      </c>
      <c r="T168" s="246"/>
      <c r="U168" s="246"/>
      <c r="V168" s="246"/>
      <c r="W168" s="246"/>
      <c r="X168" s="246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</row>
    <row r="169" spans="1:51" ht="11.45" hidden="1" customHeight="1" x14ac:dyDescent="0.2">
      <c r="A169" s="368"/>
      <c r="B169" s="377"/>
      <c r="C169" s="369"/>
      <c r="D169" s="368" t="s">
        <v>75</v>
      </c>
      <c r="E169" s="369"/>
      <c r="F169" s="207">
        <v>0.1</v>
      </c>
      <c r="G169" s="375">
        <v>17892</v>
      </c>
      <c r="H169" s="376"/>
      <c r="I169" s="208"/>
      <c r="J169" s="208"/>
      <c r="K169" s="208"/>
      <c r="L169" s="208"/>
      <c r="M169" s="208"/>
      <c r="N169" s="64">
        <f>IF(I$158="#GSRs",ROUND(('W10'!K172*I169)/3*'W10'!C$30,0),ROUND('R10'!I169/3*'W10'!K172,0))</f>
        <v>0</v>
      </c>
      <c r="O169" s="64">
        <f>IF(J$158="#GSRs",ROUND(('W10'!L172*J169)/3*'W10'!D$30,0),ROUND('R10'!J169/3*'W10'!L172,0))</f>
        <v>0</v>
      </c>
      <c r="P169" s="64">
        <f>IF(K$158="#GSRs",ROUND(('W10'!M172*K169)/3*'W10'!E$30,0),ROUND('R10'!K169/3*'W10'!M172,0))</f>
        <v>0</v>
      </c>
      <c r="Q169" s="64">
        <f>IF(L$158="#GSRs",ROUND(('W10'!N172*L169)/3*'W10'!F$30,0),ROUND('R10'!L169/3*'W10'!N172,0))</f>
        <v>0</v>
      </c>
      <c r="R169" s="64">
        <f>IF(M$158="#GSRs",ROUND(('W10'!O172*M169)/3*'W10'!G$30,0),ROUND('R10'!M169/3*'W10'!O172,0))</f>
        <v>0</v>
      </c>
      <c r="S169" s="64">
        <f t="shared" si="27"/>
        <v>0</v>
      </c>
      <c r="T169" s="246"/>
      <c r="U169" s="246"/>
      <c r="V169" s="246"/>
      <c r="W169" s="246"/>
      <c r="X169" s="246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</row>
    <row r="170" spans="1:51" ht="11.45" hidden="1" customHeight="1" x14ac:dyDescent="0.2">
      <c r="A170" s="368"/>
      <c r="B170" s="377"/>
      <c r="C170" s="369"/>
      <c r="D170" s="368" t="s">
        <v>75</v>
      </c>
      <c r="E170" s="369"/>
      <c r="F170" s="207">
        <v>0.1</v>
      </c>
      <c r="G170" s="375">
        <v>17892</v>
      </c>
      <c r="H170" s="376"/>
      <c r="I170" s="208"/>
      <c r="J170" s="208"/>
      <c r="K170" s="208"/>
      <c r="L170" s="208"/>
      <c r="M170" s="208"/>
      <c r="N170" s="64">
        <f>IF(I$158="#GSRs",ROUND(('W10'!K173*I170)/3*'W10'!C$30,0),ROUND('R10'!I170/3*'W10'!K173,0))</f>
        <v>0</v>
      </c>
      <c r="O170" s="64">
        <f>IF(J$158="#GSRs",ROUND(('W10'!L173*J170)/3*'W10'!D$30,0),ROUND('R10'!J170/3*'W10'!L173,0))</f>
        <v>0</v>
      </c>
      <c r="P170" s="64">
        <f>IF(K$158="#GSRs",ROUND(('W10'!M173*K170)/3*'W10'!E$30,0),ROUND('R10'!K170/3*'W10'!M173,0))</f>
        <v>0</v>
      </c>
      <c r="Q170" s="64">
        <f>IF(L$158="#GSRs",ROUND(('W10'!N173*L170)/3*'W10'!F$30,0),ROUND('R10'!L170/3*'W10'!N173,0))</f>
        <v>0</v>
      </c>
      <c r="R170" s="64">
        <f>IF(M$158="#GSRs",ROUND(('W10'!O173*M170)/3*'W10'!G$30,0),ROUND('R10'!M170/3*'W10'!O173,0))</f>
        <v>0</v>
      </c>
      <c r="S170" s="64">
        <f t="shared" si="27"/>
        <v>0</v>
      </c>
      <c r="T170" s="246"/>
      <c r="U170" s="246"/>
      <c r="V170" s="246"/>
      <c r="W170" s="246"/>
      <c r="X170" s="246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</row>
    <row r="171" spans="1:51" x14ac:dyDescent="0.2">
      <c r="A171" s="94" t="s">
        <v>216</v>
      </c>
      <c r="B171" s="55"/>
      <c r="C171" s="55"/>
      <c r="D171" s="118"/>
      <c r="E171" s="118"/>
      <c r="F171" s="55"/>
      <c r="G171" s="407" t="s">
        <v>117</v>
      </c>
      <c r="H171" s="408"/>
      <c r="I171" s="404" t="s">
        <v>222</v>
      </c>
      <c r="J171" s="405"/>
      <c r="K171" s="405"/>
      <c r="L171" s="405"/>
      <c r="M171" s="406"/>
      <c r="N171" s="56"/>
      <c r="O171" s="56"/>
      <c r="P171" s="56"/>
      <c r="Q171" s="56"/>
      <c r="R171" s="56"/>
      <c r="S171" s="56"/>
      <c r="T171" s="246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</row>
    <row r="172" spans="1:51" x14ac:dyDescent="0.2">
      <c r="A172" s="231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4"/>
      <c r="O172" s="204"/>
      <c r="P172" s="204"/>
      <c r="Q172" s="204"/>
      <c r="R172" s="204"/>
      <c r="S172" s="90">
        <f>SUM(N172:R172)</f>
        <v>0</v>
      </c>
      <c r="T172" s="246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</row>
    <row r="173" spans="1:51" x14ac:dyDescent="0.2">
      <c r="A173" s="231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4"/>
      <c r="P173" s="204"/>
      <c r="Q173" s="204"/>
      <c r="R173" s="204"/>
      <c r="S173" s="90">
        <f>SUM(N173:R173)</f>
        <v>0</v>
      </c>
      <c r="T173" s="246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</row>
    <row r="174" spans="1:51" x14ac:dyDescent="0.2">
      <c r="A174" s="231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4"/>
      <c r="O174" s="204"/>
      <c r="P174" s="204"/>
      <c r="Q174" s="204"/>
      <c r="R174" s="204"/>
      <c r="S174" s="90">
        <f>SUM(N174:R174)</f>
        <v>0</v>
      </c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</row>
    <row r="175" spans="1:51" hidden="1" x14ac:dyDescent="0.2">
      <c r="A175" s="231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4"/>
      <c r="O175" s="204"/>
      <c r="P175" s="204"/>
      <c r="Q175" s="204"/>
      <c r="R175" s="204"/>
      <c r="S175" s="90">
        <f>SUM(N175:R175)</f>
        <v>0</v>
      </c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</row>
    <row r="176" spans="1:51" hidden="1" x14ac:dyDescent="0.2">
      <c r="A176" s="231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4"/>
      <c r="O176" s="204"/>
      <c r="P176" s="204"/>
      <c r="Q176" s="204"/>
      <c r="R176" s="204"/>
      <c r="S176" s="90">
        <f>SUM(N176:R176)</f>
        <v>0</v>
      </c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</row>
    <row r="177" spans="1:51" x14ac:dyDescent="0.2">
      <c r="A177" s="59" t="s">
        <v>79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2"/>
      <c r="N177" s="213"/>
      <c r="O177" s="213"/>
      <c r="P177" s="213"/>
      <c r="Q177" s="213"/>
      <c r="R177" s="213"/>
      <c r="S177" s="88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</row>
    <row r="178" spans="1:51" x14ac:dyDescent="0.2">
      <c r="A178" s="231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14"/>
      <c r="O178" s="214"/>
      <c r="P178" s="214"/>
      <c r="Q178" s="214"/>
      <c r="R178" s="214"/>
      <c r="S178" s="90">
        <f t="shared" ref="S178:S185" si="28">SUM(N178:R178)</f>
        <v>0</v>
      </c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</row>
    <row r="179" spans="1:51" x14ac:dyDescent="0.2">
      <c r="A179" s="231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14"/>
      <c r="O179" s="214"/>
      <c r="P179" s="214"/>
      <c r="Q179" s="214"/>
      <c r="R179" s="214"/>
      <c r="S179" s="90">
        <f t="shared" si="28"/>
        <v>0</v>
      </c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</row>
    <row r="180" spans="1:51" x14ac:dyDescent="0.2">
      <c r="A180" s="231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14"/>
      <c r="O180" s="214"/>
      <c r="P180" s="214"/>
      <c r="Q180" s="214"/>
      <c r="R180" s="214"/>
      <c r="S180" s="90">
        <f t="shared" si="28"/>
        <v>0</v>
      </c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</row>
    <row r="181" spans="1:51" x14ac:dyDescent="0.2">
      <c r="A181" s="231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14"/>
      <c r="O181" s="214"/>
      <c r="P181" s="214"/>
      <c r="Q181" s="214"/>
      <c r="R181" s="214"/>
      <c r="S181" s="90">
        <f t="shared" si="28"/>
        <v>0</v>
      </c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</row>
    <row r="182" spans="1:51" hidden="1" x14ac:dyDescent="0.2">
      <c r="A182" s="231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14"/>
      <c r="O182" s="214"/>
      <c r="P182" s="214"/>
      <c r="Q182" s="214"/>
      <c r="R182" s="214"/>
      <c r="S182" s="90">
        <f t="shared" si="28"/>
        <v>0</v>
      </c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</row>
    <row r="183" spans="1:51" hidden="1" x14ac:dyDescent="0.2">
      <c r="A183" s="231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14"/>
      <c r="O183" s="214"/>
      <c r="P183" s="214"/>
      <c r="Q183" s="214"/>
      <c r="R183" s="214"/>
      <c r="S183" s="90">
        <f t="shared" si="28"/>
        <v>0</v>
      </c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</row>
    <row r="184" spans="1:51" hidden="1" x14ac:dyDescent="0.2">
      <c r="A184" s="231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14"/>
      <c r="O184" s="214"/>
      <c r="P184" s="214"/>
      <c r="Q184" s="214"/>
      <c r="R184" s="214"/>
      <c r="S184" s="90">
        <f t="shared" si="28"/>
        <v>0</v>
      </c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</row>
    <row r="185" spans="1:51" hidden="1" x14ac:dyDescent="0.2">
      <c r="A185" s="231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14"/>
      <c r="O185" s="214"/>
      <c r="P185" s="214"/>
      <c r="Q185" s="214"/>
      <c r="R185" s="214"/>
      <c r="S185" s="90">
        <f t="shared" si="28"/>
        <v>0</v>
      </c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</row>
    <row r="186" spans="1:51" x14ac:dyDescent="0.2">
      <c r="A186" s="232" t="s">
        <v>80</v>
      </c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2"/>
      <c r="N186" s="213"/>
      <c r="O186" s="213"/>
      <c r="P186" s="213"/>
      <c r="Q186" s="213"/>
      <c r="R186" s="213"/>
      <c r="S186" s="88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</row>
    <row r="187" spans="1:51" x14ac:dyDescent="0.2">
      <c r="A187" s="231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4"/>
      <c r="O187" s="204"/>
      <c r="P187" s="204"/>
      <c r="Q187" s="204"/>
      <c r="R187" s="204"/>
      <c r="S187" s="90">
        <f t="shared" ref="S187:S205" si="29">SUM(N187:R187)</f>
        <v>0</v>
      </c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</row>
    <row r="188" spans="1:51" x14ac:dyDescent="0.2">
      <c r="A188" s="231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4"/>
      <c r="O188" s="204"/>
      <c r="P188" s="204"/>
      <c r="Q188" s="204"/>
      <c r="R188" s="204"/>
      <c r="S188" s="90">
        <f t="shared" si="29"/>
        <v>0</v>
      </c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</row>
    <row r="189" spans="1:51" x14ac:dyDescent="0.2">
      <c r="A189" s="231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4"/>
      <c r="P189" s="204"/>
      <c r="Q189" s="204"/>
      <c r="R189" s="204"/>
      <c r="S189" s="90">
        <f t="shared" si="29"/>
        <v>0</v>
      </c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</row>
    <row r="190" spans="1:51" x14ac:dyDescent="0.2">
      <c r="A190" s="231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4"/>
      <c r="O190" s="204"/>
      <c r="P190" s="204"/>
      <c r="Q190" s="204"/>
      <c r="R190" s="204"/>
      <c r="S190" s="90">
        <f t="shared" si="29"/>
        <v>0</v>
      </c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</row>
    <row r="191" spans="1:51" x14ac:dyDescent="0.2">
      <c r="A191" s="231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4"/>
      <c r="O191" s="204"/>
      <c r="P191" s="204"/>
      <c r="Q191" s="204"/>
      <c r="R191" s="204"/>
      <c r="S191" s="90">
        <f t="shared" si="29"/>
        <v>0</v>
      </c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</row>
    <row r="192" spans="1:51" x14ac:dyDescent="0.2">
      <c r="A192" s="231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4"/>
      <c r="O192" s="204"/>
      <c r="P192" s="204"/>
      <c r="Q192" s="204"/>
      <c r="R192" s="204"/>
      <c r="S192" s="90">
        <f t="shared" si="29"/>
        <v>0</v>
      </c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</row>
    <row r="193" spans="1:51" hidden="1" x14ac:dyDescent="0.2">
      <c r="A193" s="231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4"/>
      <c r="O193" s="204"/>
      <c r="P193" s="204"/>
      <c r="Q193" s="204"/>
      <c r="R193" s="204"/>
      <c r="S193" s="90">
        <f t="shared" si="29"/>
        <v>0</v>
      </c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</row>
    <row r="194" spans="1:51" hidden="1" x14ac:dyDescent="0.2">
      <c r="A194" s="231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4"/>
      <c r="O194" s="204"/>
      <c r="P194" s="204"/>
      <c r="Q194" s="204"/>
      <c r="R194" s="204"/>
      <c r="S194" s="90">
        <f t="shared" si="29"/>
        <v>0</v>
      </c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</row>
    <row r="195" spans="1:51" hidden="1" x14ac:dyDescent="0.2">
      <c r="A195" s="231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4"/>
      <c r="O195" s="204"/>
      <c r="P195" s="204"/>
      <c r="Q195" s="204"/>
      <c r="R195" s="204"/>
      <c r="S195" s="90">
        <f t="shared" si="29"/>
        <v>0</v>
      </c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</row>
    <row r="196" spans="1:51" hidden="1" x14ac:dyDescent="0.2">
      <c r="A196" s="23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4"/>
      <c r="P196" s="204"/>
      <c r="Q196" s="204"/>
      <c r="R196" s="204"/>
      <c r="S196" s="90">
        <f t="shared" si="29"/>
        <v>0</v>
      </c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</row>
    <row r="197" spans="1:51" hidden="1" x14ac:dyDescent="0.2">
      <c r="A197" s="231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4"/>
      <c r="O197" s="204"/>
      <c r="P197" s="204"/>
      <c r="Q197" s="204"/>
      <c r="R197" s="204"/>
      <c r="S197" s="90">
        <f t="shared" si="29"/>
        <v>0</v>
      </c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</row>
    <row r="198" spans="1:51" hidden="1" x14ac:dyDescent="0.2">
      <c r="A198" s="231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4"/>
      <c r="O198" s="204"/>
      <c r="P198" s="204"/>
      <c r="Q198" s="204"/>
      <c r="R198" s="204"/>
      <c r="S198" s="90">
        <f t="shared" si="29"/>
        <v>0</v>
      </c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</row>
    <row r="199" spans="1:51" hidden="1" x14ac:dyDescent="0.2">
      <c r="A199" s="231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4"/>
      <c r="O199" s="204"/>
      <c r="P199" s="204"/>
      <c r="Q199" s="204"/>
      <c r="R199" s="204"/>
      <c r="S199" s="90">
        <f t="shared" si="29"/>
        <v>0</v>
      </c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</row>
    <row r="200" spans="1:51" hidden="1" x14ac:dyDescent="0.2">
      <c r="A200" s="231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4"/>
      <c r="O200" s="204"/>
      <c r="P200" s="204"/>
      <c r="Q200" s="204"/>
      <c r="R200" s="204"/>
      <c r="S200" s="90">
        <f t="shared" si="29"/>
        <v>0</v>
      </c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</row>
    <row r="201" spans="1:51" hidden="1" x14ac:dyDescent="0.2">
      <c r="A201" s="231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4"/>
      <c r="O201" s="204"/>
      <c r="P201" s="204"/>
      <c r="Q201" s="204"/>
      <c r="R201" s="204"/>
      <c r="S201" s="90">
        <f t="shared" si="29"/>
        <v>0</v>
      </c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</row>
    <row r="202" spans="1:51" hidden="1" x14ac:dyDescent="0.2">
      <c r="A202" s="231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4"/>
      <c r="O202" s="204"/>
      <c r="P202" s="204"/>
      <c r="Q202" s="204"/>
      <c r="R202" s="204"/>
      <c r="S202" s="90">
        <f t="shared" si="29"/>
        <v>0</v>
      </c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</row>
    <row r="203" spans="1:51" hidden="1" x14ac:dyDescent="0.2">
      <c r="A203" s="231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4"/>
      <c r="P203" s="204"/>
      <c r="Q203" s="204"/>
      <c r="R203" s="204"/>
      <c r="S203" s="90">
        <f t="shared" si="29"/>
        <v>0</v>
      </c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</row>
    <row r="204" spans="1:51" hidden="1" x14ac:dyDescent="0.2">
      <c r="A204" s="231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04"/>
      <c r="O204" s="204"/>
      <c r="P204" s="204"/>
      <c r="Q204" s="204"/>
      <c r="R204" s="204"/>
      <c r="S204" s="90">
        <f t="shared" si="29"/>
        <v>0</v>
      </c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</row>
    <row r="205" spans="1:51" x14ac:dyDescent="0.2">
      <c r="A205" s="160" t="s">
        <v>81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2"/>
      <c r="N205" s="147">
        <f>SUM(N159:N204)</f>
        <v>0</v>
      </c>
      <c r="O205" s="147">
        <f>SUM(O159:O204)</f>
        <v>0</v>
      </c>
      <c r="P205" s="147">
        <f>SUM(P159:P204)</f>
        <v>0</v>
      </c>
      <c r="Q205" s="147">
        <f>SUM(Q159:Q204)</f>
        <v>0</v>
      </c>
      <c r="R205" s="147">
        <f>SUM(R159:R204)</f>
        <v>0</v>
      </c>
      <c r="S205" s="148">
        <f t="shared" si="29"/>
        <v>0</v>
      </c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</row>
    <row r="206" spans="1:51" ht="19.149999999999999" customHeight="1" x14ac:dyDescent="0.2">
      <c r="A206" s="439" t="s">
        <v>185</v>
      </c>
      <c r="B206" s="440"/>
      <c r="C206" s="440"/>
      <c r="D206" s="440"/>
      <c r="E206" s="440"/>
      <c r="F206" s="440"/>
      <c r="G206" s="440"/>
      <c r="H206" s="440"/>
      <c r="I206" s="440"/>
      <c r="J206" s="440"/>
      <c r="K206" s="440"/>
      <c r="L206" s="440"/>
      <c r="M206" s="441"/>
      <c r="N206" s="136">
        <f ca="1">N207-IF($K127="IC of Above",N127,0)-IF($K128="IC of Above",N128,0)-IF($K129="IC of Above",N129,0)-IF($K130="IC of Above",N130,0)-IF($K131="IC of Above",N131,0)-IF($K132="IC of Above",N132,0)-IF($K133="IC of Above",N133,0)-IF($K134="IC of Above",N134,0)-IF($K135="IC of Above",N135,0)-IF($K136="IC of Above",N136,0)-IF($K137="IC of Above",N137,0)-IF($K138="IC of Above",N138,0)-IF($K139="IC of Above",N139,0)-IF($K140="IC of Above",N140,0)</f>
        <v>0</v>
      </c>
      <c r="O206" s="136">
        <f ca="1">O207-IF($K127="IC of Above",O127,0)-IF($K128="IC of Above",O128,0)-IF($K129="IC of Above",O129,0)-IF($K130="IC of Above",O130,0)-IF($K131="IC of Above",O131,0)-IF($K132="IC of Above",O132,0)-IF($K133="IC of Above",O133,0)-IF($K134="IC of Above",O134,0)-IF($K135="IC of Above",O135,0)-IF($K136="IC of Above",O136,0)-IF($K137="IC of Above",O137,0)-IF($K138="IC of Above",O138,0)-IF($K139="IC of Above",O139,0)-IF($K140="IC of Above",O140,0)</f>
        <v>0</v>
      </c>
      <c r="P206" s="136">
        <f ca="1">P207-IF($K127="IC of Above",P127,0)-IF($K128="IC of Above",P128,0)-IF($K129="IC of Above",P129,0)-IF($K130="IC of Above",P130,0)-IF($K131="IC of Above",P131,0)-IF($K132="IC of Above",P132,0)-IF($K133="IC of Above",P133,0)-IF($K134="IC of Above",P134,0)-IF($K135="IC of Above",P135,0)-IF($K136="IC of Above",P136,0)-IF($K137="IC of Above",P137,0)-IF($K138="IC of Above",P138,0)-IF($K139="IC of Above",P139,0)-IF($K140="IC of Above",P140,0)</f>
        <v>0</v>
      </c>
      <c r="Q206" s="136">
        <f ca="1">Q207-IF($K127="IC of Above",Q127,0)-IF($K128="IC of Above",Q128,0)-IF($K129="IC of Above",Q129,0)-IF($K130="IC of Above",Q130,0)-IF($K131="IC of Above",Q131,0)-IF($K132="IC of Above",Q132,0)-IF($K133="IC of Above",Q133,0)-IF($K134="IC of Above",Q134,0)-IF($K135="IC of Above",Q135,0)-IF($K136="IC of Above",Q136,0)-IF($K137="IC of Above",Q137,0)-IF($K138="IC of Above",Q138,0)-IF($K139="IC of Above",Q139,0)-IF($K140="IC of Above",Q140,0)</f>
        <v>0</v>
      </c>
      <c r="R206" s="136">
        <f ca="1">R207-IF($K127="IC of Above",R127,0)-IF($K128="IC of Above",R128,0)-IF($K129="IC of Above",R129,0)-IF($K130="IC of Above",R130,0)-IF($K131="IC of Above",R131,0)-IF($K132="IC of Above",R132,0)-IF($K133="IC of Above",R133,0)-IF($K134="IC of Above",R134,0)-IF($K135="IC of Above",R135,0)-IF($K136="IC of Above",R136,0)-IF($K137="IC of Above",R137,0)-IF($K138="IC of Above",R138,0)-IF($K139="IC of Above",R139,0)-IF($K140="IC of Above",R140,0)</f>
        <v>0</v>
      </c>
      <c r="S206" s="136">
        <f ca="1">SUM(N206:R206)</f>
        <v>0</v>
      </c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</row>
    <row r="207" spans="1:51" x14ac:dyDescent="0.2">
      <c r="A207" s="160" t="s">
        <v>82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2"/>
      <c r="N207" s="234">
        <f ca="1">N61+N73+N86+N123+N141+N153+N205</f>
        <v>0</v>
      </c>
      <c r="O207" s="234">
        <f ca="1">O61+O73+O86+O123+O141+O153+O205</f>
        <v>0</v>
      </c>
      <c r="P207" s="234">
        <f ca="1">P61+P73+P86+P123+P141+P153+P205</f>
        <v>0</v>
      </c>
      <c r="Q207" s="234">
        <f ca="1">Q61+Q73+Q86+Q123+Q141+Q153+Q205</f>
        <v>0</v>
      </c>
      <c r="R207" s="234">
        <f ca="1">R61+R73+R86+R123+R141+R153+R205</f>
        <v>0</v>
      </c>
      <c r="S207" s="234">
        <f ca="1">SUM(N207:R207)</f>
        <v>0</v>
      </c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</row>
    <row r="208" spans="1:51" x14ac:dyDescent="0.2">
      <c r="A208" s="63" t="s">
        <v>83</v>
      </c>
      <c r="B208" s="203"/>
      <c r="C208" s="203"/>
      <c r="D208" s="427" t="s">
        <v>86</v>
      </c>
      <c r="E208" s="428"/>
      <c r="F208" s="368" t="s">
        <v>88</v>
      </c>
      <c r="G208" s="377"/>
      <c r="H208" s="377"/>
      <c r="I208" s="377"/>
      <c r="J208" s="377"/>
      <c r="K208" s="377"/>
      <c r="L208" s="377"/>
      <c r="M208" s="369"/>
      <c r="N208" s="235">
        <f ca="1">IF($H$210&lt;&gt;"Custom",(IF(F208&lt;&gt;'W10'!A91,'W10'!C157,IF('R10'!H210="MTDC",'W10'!C157,IF('R10'!H210="TDC",'W10'!C158,IF('R10'!H210="TC",'W10'!C159))))),0)</f>
        <v>0</v>
      </c>
      <c r="O208" s="235">
        <f ca="1">IF($H$210&lt;&gt;"Custom",IF($F$208&lt;&gt;'W10'!$A$91,'W10'!D157,IF('R10'!$H$210="MTDC",'W10'!D157,IF('R10'!$H$210="TDC",'W10'!D158,IF('R10'!$H$210="TC",'W10'!D159)))),0)</f>
        <v>0</v>
      </c>
      <c r="P208" s="235">
        <f ca="1">IF($H$210&lt;&gt;"Custom",IF($F$208&lt;&gt;'W10'!$A$91,'W10'!E157,IF('R10'!$H$210="MTDC",'W10'!E157,IF('R10'!$H$210="TDC",'W10'!E158,IF('R10'!$H$210="TC",'W10'!E159)))),0)</f>
        <v>0</v>
      </c>
      <c r="Q208" s="235">
        <f ca="1">IF($H$210&lt;&gt;"Custom",IF($F$208&lt;&gt;'W10'!$A$91,'W10'!F157,IF('R10'!$H$210="MTDC",'W10'!F157,IF('R10'!$H$210="TDC",'W10'!F158,IF('R10'!$H$210="TC",'W10'!F159)))),0)</f>
        <v>0</v>
      </c>
      <c r="R208" s="235">
        <f ca="1">IF($H$210&lt;&gt;"Custom",IF($F$208&lt;&gt;'W10'!$A$91,'W10'!G157,IF('R10'!$H$210="MTDC",'W10'!G157,IF('R10'!$H$210="TDC",'W10'!G158,IF('R10'!$H$210="TC",'W10'!G159)))),0)</f>
        <v>0</v>
      </c>
      <c r="S208" s="236">
        <f ca="1">SUM(N208:R208)</f>
        <v>0</v>
      </c>
      <c r="T208" s="250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</row>
    <row r="209" spans="1:51" hidden="1" x14ac:dyDescent="0.2">
      <c r="A209" s="241" t="s">
        <v>101</v>
      </c>
      <c r="B209" s="237"/>
      <c r="C209" s="237"/>
      <c r="D209" s="238"/>
      <c r="E209" s="423" t="s">
        <v>102</v>
      </c>
      <c r="F209" s="424"/>
      <c r="G209" s="424"/>
      <c r="H209" s="424"/>
      <c r="I209" s="424"/>
      <c r="J209" s="424"/>
      <c r="K209" s="424"/>
      <c r="L209" s="424"/>
      <c r="M209" s="425"/>
      <c r="N209" s="243"/>
      <c r="O209" s="243"/>
      <c r="P209" s="243"/>
      <c r="Q209" s="243"/>
      <c r="R209" s="243"/>
      <c r="S209" s="87">
        <f>SUM(N209:R209)</f>
        <v>0</v>
      </c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</row>
    <row r="210" spans="1:51" x14ac:dyDescent="0.2">
      <c r="A210" s="242" t="s">
        <v>84</v>
      </c>
      <c r="B210" s="239"/>
      <c r="C210" s="240"/>
      <c r="D210" s="240"/>
      <c r="E210" s="426" t="s">
        <v>97</v>
      </c>
      <c r="F210" s="427"/>
      <c r="G210" s="428"/>
      <c r="H210" s="429" t="s">
        <v>116</v>
      </c>
      <c r="I210" s="430"/>
      <c r="J210" s="426" t="s">
        <v>100</v>
      </c>
      <c r="K210" s="427"/>
      <c r="L210" s="431">
        <v>0.2</v>
      </c>
      <c r="M210" s="432"/>
      <c r="N210" s="65">
        <f ca="1">IF(N207=0,0,IF($H$210="Custom",(ROUND(N209*$L$210,0)),(IF($F$208='W10'!$A$91,ROUND('R10'!N208*$L$210,0),(ROUND((N208-'W10'!C160)/'W10'!C5*'W10'!C9*'W10'!B97+(N208-'W10'!C160)/'W10'!C5*'W10'!C10*'W10'!C97,0)+(IF($I$171="Federal",ROUND('W10'!C160*'W10'!B92,0),(ROUND('W10'!C160*'W10'!B93,0)))))))))</f>
        <v>0</v>
      </c>
      <c r="O210" s="65">
        <f ca="1">IF(O207=0,0,IF($H$210="Custom",(ROUND(O209*$L$210,0)),(IF($F$208='W10'!$A$91,ROUND('R10'!O208*$L$210,0),(ROUND((O208-'W10'!D160)/'W10'!D5*'W10'!D9*'W10'!D97+(O208-'W10'!D160)/'W10'!D5*'W10'!D10*'W10'!E97,0)+(IF($I$171="Federal",ROUND('W10'!D160*'W10'!B92,0),(ROUND('W10'!D160*'W10'!B93,0)))))))))</f>
        <v>0</v>
      </c>
      <c r="P210" s="65">
        <f ca="1">IF(P207=0,0,IF($H$210="Custom",(ROUND(P209*$L$210,0)),(IF($F$208='W10'!$A$91,ROUND('R10'!P208*$L$210,0),(ROUND((P208-'W10'!E160)/'W10'!E5*'W10'!E9*'W10'!F97+(P208-'W10'!E160)/'W10'!E5*'W10'!E10*'W10'!G97,0)+(IF($I$171="Federal",ROUND('W10'!E160*'W10'!B92,0),(ROUND('W10'!E160*'W10'!B93,0)))))))))</f>
        <v>0</v>
      </c>
      <c r="Q210" s="65">
        <f ca="1">IF(Q207=0,0,IF($H$210="Custom",(ROUND(Q209*$L$210,0)),(IF($F$208='W10'!$A$91,ROUND('R10'!Q208*$L$210,0),(ROUND((Q208-'W10'!F160)/'W10'!F5*'W10'!F9*'W10'!H97+(Q208-'W10'!F160)/'W10'!F5*'W10'!F10*'W10'!I97,0)+(IF($I$171="Federal",ROUND('W10'!F160*'W10'!B92,0),(ROUND('W10'!F160*'W10'!B93,0)))))))))</f>
        <v>0</v>
      </c>
      <c r="R210" s="65">
        <f ca="1">IF(R207=0,0,IF($H$210="Custom",(ROUND(R209*$L$210,0)),(IF($F$208='W10'!$A$91,ROUND('R10'!R208*$L$210,0),(ROUND((R208-'W10'!G160)/'W10'!G5*'W10'!G9*'W10'!J97+(R208-'W10'!G160)/'W10'!G5*'W10'!G10*'W10'!K97,0)+(IF($I$171="Federal",ROUND('W10'!G160*'W10'!B92,0),(ROUND('W10'!G160*'W10'!B93,0)))))))))</f>
        <v>0</v>
      </c>
      <c r="S210" s="102">
        <f ca="1">SUM(N210:R210)</f>
        <v>0</v>
      </c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</row>
    <row r="211" spans="1:51" x14ac:dyDescent="0.2">
      <c r="A211" s="95" t="s">
        <v>85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66"/>
      <c r="M211" s="67"/>
      <c r="N211" s="68">
        <f ca="1">N207+N210</f>
        <v>0</v>
      </c>
      <c r="O211" s="68">
        <f t="shared" ref="O211:R211" ca="1" si="30">O207+O210</f>
        <v>0</v>
      </c>
      <c r="P211" s="68">
        <f t="shared" ca="1" si="30"/>
        <v>0</v>
      </c>
      <c r="Q211" s="68">
        <f t="shared" ca="1" si="30"/>
        <v>0</v>
      </c>
      <c r="R211" s="68">
        <f t="shared" ca="1" si="30"/>
        <v>0</v>
      </c>
      <c r="S211" s="68">
        <f ca="1">S207+S210</f>
        <v>0</v>
      </c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</row>
    <row r="212" spans="1:51" x14ac:dyDescent="0.2">
      <c r="A212" s="251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3"/>
      <c r="O212" s="253"/>
      <c r="P212" s="253"/>
      <c r="Q212" s="253"/>
      <c r="R212" s="253"/>
      <c r="S212" s="253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</row>
    <row r="213" spans="1:51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54"/>
      <c r="O213" s="254"/>
      <c r="P213" s="254"/>
      <c r="Q213" s="254"/>
      <c r="R213" s="254"/>
      <c r="S213" s="254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</row>
    <row r="214" spans="1:51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47"/>
      <c r="O214" s="247"/>
      <c r="P214" s="247"/>
      <c r="Q214" s="247"/>
      <c r="R214" s="247"/>
      <c r="S214" s="24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</row>
    <row r="215" spans="1:51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47"/>
      <c r="O215" s="247"/>
      <c r="P215" s="247"/>
      <c r="Q215" s="247"/>
      <c r="R215" s="247"/>
      <c r="S215" s="24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</row>
    <row r="216" spans="1:51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47"/>
      <c r="O216" s="247"/>
      <c r="P216" s="247"/>
      <c r="Q216" s="247"/>
      <c r="R216" s="247"/>
      <c r="S216" s="24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</row>
    <row r="217" spans="1:51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54"/>
      <c r="O217" s="254"/>
      <c r="P217" s="254"/>
      <c r="Q217" s="254"/>
      <c r="R217" s="254"/>
      <c r="S217" s="254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</row>
    <row r="218" spans="1:51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47"/>
      <c r="O218" s="247"/>
      <c r="P218" s="247"/>
      <c r="Q218" s="247"/>
      <c r="R218" s="247"/>
      <c r="S218" s="24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</row>
    <row r="219" spans="1:51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51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51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51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  <row r="223" spans="1:51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</row>
    <row r="224" spans="1:51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</row>
    <row r="226" spans="1:22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</row>
    <row r="227" spans="1:22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</row>
    <row r="228" spans="1:22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</row>
    <row r="229" spans="1:22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</row>
    <row r="230" spans="1:22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</row>
    <row r="231" spans="1:22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</row>
    <row r="232" spans="1:22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</row>
    <row r="233" spans="1:22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</row>
    <row r="234" spans="1:22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</row>
    <row r="235" spans="1:22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</row>
    <row r="236" spans="1:22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</row>
    <row r="237" spans="1:22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</row>
    <row r="238" spans="1:22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</row>
    <row r="239" spans="1:22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</row>
    <row r="240" spans="1:22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</row>
    <row r="241" spans="1:22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</row>
    <row r="242" spans="1:22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</row>
    <row r="243" spans="1:22" x14ac:dyDescent="0.2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</row>
    <row r="244" spans="1:22" x14ac:dyDescent="0.2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</row>
    <row r="245" spans="1:22" x14ac:dyDescent="0.2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</row>
    <row r="246" spans="1:22" x14ac:dyDescent="0.2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</row>
    <row r="247" spans="1:22" x14ac:dyDescent="0.2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</row>
    <row r="248" spans="1:22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</row>
    <row r="249" spans="1:22" x14ac:dyDescent="0.2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</row>
    <row r="250" spans="1:22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</row>
    <row r="251" spans="1:22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</row>
    <row r="254" spans="1:22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</row>
    <row r="255" spans="1:22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</row>
    <row r="256" spans="1:22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</row>
    <row r="257" spans="1:22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</row>
    <row r="258" spans="1:22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</row>
    <row r="259" spans="1:22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</row>
    <row r="260" spans="1:22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</row>
    <row r="261" spans="1:22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</row>
    <row r="262" spans="1:22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</row>
    <row r="263" spans="1:22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</row>
    <row r="264" spans="1:22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</row>
    <row r="265" spans="1:22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</row>
    <row r="266" spans="1:22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</row>
    <row r="267" spans="1:22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</row>
    <row r="268" spans="1:22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x14ac:dyDescent="0.2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</row>
    <row r="270" spans="1:22" x14ac:dyDescent="0.2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</row>
    <row r="271" spans="1:22" x14ac:dyDescent="0.2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</row>
    <row r="272" spans="1:22" x14ac:dyDescent="0.2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</row>
    <row r="273" spans="1:22" x14ac:dyDescent="0.2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</row>
    <row r="274" spans="1:22" x14ac:dyDescent="0.2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</row>
    <row r="275" spans="1:22" x14ac:dyDescent="0.2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</row>
    <row r="276" spans="1:22" x14ac:dyDescent="0.2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</row>
    <row r="277" spans="1:22" x14ac:dyDescent="0.2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</row>
    <row r="278" spans="1:22" x14ac:dyDescent="0.2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x14ac:dyDescent="0.2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280" spans="1:22" x14ac:dyDescent="0.2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</row>
    <row r="281" spans="1:22" x14ac:dyDescent="0.2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</row>
    <row r="282" spans="1:22" x14ac:dyDescent="0.2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</row>
    <row r="283" spans="1:22" x14ac:dyDescent="0.2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</row>
    <row r="284" spans="1:22" x14ac:dyDescent="0.2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</row>
    <row r="285" spans="1:22" x14ac:dyDescent="0.2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</row>
    <row r="286" spans="1:22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</row>
    <row r="287" spans="1:22" x14ac:dyDescent="0.2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</row>
    <row r="288" spans="1:22" x14ac:dyDescent="0.2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</row>
    <row r="289" spans="1:22" x14ac:dyDescent="0.2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</row>
    <row r="290" spans="1:22" x14ac:dyDescent="0.2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</row>
    <row r="291" spans="1:22" x14ac:dyDescent="0.2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</row>
    <row r="292" spans="1:22" x14ac:dyDescent="0.2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</row>
    <row r="293" spans="1:22" x14ac:dyDescent="0.2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</row>
    <row r="294" spans="1:22" x14ac:dyDescent="0.2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</row>
    <row r="295" spans="1:22" x14ac:dyDescent="0.2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</row>
    <row r="296" spans="1:22" x14ac:dyDescent="0.2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</row>
    <row r="297" spans="1:22" x14ac:dyDescent="0.2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</row>
    <row r="298" spans="1:22" x14ac:dyDescent="0.2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</row>
    <row r="299" spans="1:22" x14ac:dyDescent="0.2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</row>
    <row r="300" spans="1:22" x14ac:dyDescent="0.2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</row>
    <row r="301" spans="1:22" x14ac:dyDescent="0.2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</row>
    <row r="302" spans="1:22" x14ac:dyDescent="0.2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</row>
    <row r="303" spans="1:22" x14ac:dyDescent="0.2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</row>
    <row r="304" spans="1:22" x14ac:dyDescent="0.2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</row>
    <row r="305" spans="1:22" x14ac:dyDescent="0.2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</row>
    <row r="306" spans="1:22" x14ac:dyDescent="0.2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</row>
    <row r="307" spans="1:22" x14ac:dyDescent="0.2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</row>
    <row r="308" spans="1:22" x14ac:dyDescent="0.2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</row>
    <row r="309" spans="1:22" x14ac:dyDescent="0.2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</row>
    <row r="310" spans="1:22" x14ac:dyDescent="0.2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</row>
    <row r="311" spans="1:22" x14ac:dyDescent="0.2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</row>
    <row r="312" spans="1:22" x14ac:dyDescent="0.2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x14ac:dyDescent="0.2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</row>
    <row r="314" spans="1:22" x14ac:dyDescent="0.2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</row>
    <row r="315" spans="1:22" x14ac:dyDescent="0.2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</row>
    <row r="316" spans="1:22" x14ac:dyDescent="0.2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</row>
    <row r="317" spans="1:22" x14ac:dyDescent="0.2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</row>
    <row r="318" spans="1:22" x14ac:dyDescent="0.2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</row>
    <row r="319" spans="1:22" x14ac:dyDescent="0.2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</row>
    <row r="320" spans="1:22" x14ac:dyDescent="0.2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</row>
    <row r="321" spans="1:22" x14ac:dyDescent="0.2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</row>
    <row r="322" spans="1:22" x14ac:dyDescent="0.2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</row>
    <row r="323" spans="1:22" x14ac:dyDescent="0.2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</row>
    <row r="324" spans="1:22" x14ac:dyDescent="0.2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</row>
    <row r="325" spans="1:22" x14ac:dyDescent="0.2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</row>
    <row r="326" spans="1:22" x14ac:dyDescent="0.2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</row>
    <row r="327" spans="1:22" x14ac:dyDescent="0.2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</row>
    <row r="328" spans="1:22" x14ac:dyDescent="0.2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</row>
    <row r="329" spans="1:22" x14ac:dyDescent="0.2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</row>
    <row r="330" spans="1:22" x14ac:dyDescent="0.2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</row>
    <row r="331" spans="1:22" x14ac:dyDescent="0.2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</row>
    <row r="332" spans="1:22" x14ac:dyDescent="0.2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</row>
    <row r="333" spans="1:22" x14ac:dyDescent="0.2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</row>
    <row r="334" spans="1:22" x14ac:dyDescent="0.2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</row>
    <row r="335" spans="1:22" x14ac:dyDescent="0.2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</row>
    <row r="336" spans="1:22" x14ac:dyDescent="0.2">
      <c r="A336" s="237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</row>
    <row r="337" spans="1:22" x14ac:dyDescent="0.2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</row>
    <row r="338" spans="1:22" x14ac:dyDescent="0.2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</row>
    <row r="339" spans="1:22" x14ac:dyDescent="0.2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</row>
    <row r="340" spans="1:22" x14ac:dyDescent="0.2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</row>
    <row r="341" spans="1:22" x14ac:dyDescent="0.2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</row>
    <row r="342" spans="1:22" x14ac:dyDescent="0.2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</row>
    <row r="343" spans="1:22" x14ac:dyDescent="0.2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</row>
    <row r="344" spans="1:22" x14ac:dyDescent="0.2">
      <c r="A344" s="237"/>
      <c r="B344" s="237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</row>
    <row r="345" spans="1:22" x14ac:dyDescent="0.2">
      <c r="A345" s="237"/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</row>
    <row r="346" spans="1:22" x14ac:dyDescent="0.2">
      <c r="A346" s="237"/>
      <c r="B346" s="237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</row>
    <row r="347" spans="1:22" x14ac:dyDescent="0.2">
      <c r="A347" s="237"/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</row>
    <row r="348" spans="1:22" x14ac:dyDescent="0.2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</row>
    <row r="349" spans="1:22" x14ac:dyDescent="0.2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</row>
    <row r="350" spans="1:22" x14ac:dyDescent="0.2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</row>
    <row r="351" spans="1:22" x14ac:dyDescent="0.2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</row>
    <row r="352" spans="1:22" x14ac:dyDescent="0.2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</row>
    <row r="353" spans="1:22" x14ac:dyDescent="0.2">
      <c r="A353" s="237"/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</row>
    <row r="354" spans="1:22" x14ac:dyDescent="0.2">
      <c r="A354" s="237"/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</row>
    <row r="355" spans="1:22" x14ac:dyDescent="0.2">
      <c r="A355" s="237"/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</row>
    <row r="356" spans="1:22" x14ac:dyDescent="0.2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</row>
    <row r="357" spans="1:22" x14ac:dyDescent="0.2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</row>
    <row r="358" spans="1:22" x14ac:dyDescent="0.2">
      <c r="A358" s="237"/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</row>
    <row r="359" spans="1:22" x14ac:dyDescent="0.2">
      <c r="A359" s="237"/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</row>
    <row r="360" spans="1:22" x14ac:dyDescent="0.2">
      <c r="A360" s="237"/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</row>
    <row r="361" spans="1:22" x14ac:dyDescent="0.2">
      <c r="A361" s="237"/>
      <c r="B361" s="237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</row>
    <row r="362" spans="1:22" x14ac:dyDescent="0.2">
      <c r="A362" s="237"/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</row>
    <row r="363" spans="1:22" x14ac:dyDescent="0.2">
      <c r="A363" s="237"/>
      <c r="B363" s="237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</row>
    <row r="364" spans="1:22" x14ac:dyDescent="0.2">
      <c r="A364" s="237"/>
      <c r="B364" s="237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</row>
    <row r="365" spans="1:22" x14ac:dyDescent="0.2">
      <c r="A365" s="237"/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</row>
    <row r="366" spans="1:22" x14ac:dyDescent="0.2">
      <c r="A366" s="237"/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</row>
    <row r="367" spans="1:22" x14ac:dyDescent="0.2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</row>
    <row r="368" spans="1:22" x14ac:dyDescent="0.2">
      <c r="A368" s="237"/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</row>
    <row r="369" spans="1:22" x14ac:dyDescent="0.2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</row>
    <row r="370" spans="1:22" x14ac:dyDescent="0.2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</row>
    <row r="371" spans="1:22" x14ac:dyDescent="0.2">
      <c r="A371" s="237"/>
      <c r="B371" s="237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</row>
    <row r="372" spans="1:22" x14ac:dyDescent="0.2">
      <c r="A372" s="237"/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</row>
    <row r="373" spans="1:22" x14ac:dyDescent="0.2">
      <c r="A373" s="237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</row>
    <row r="374" spans="1:22" x14ac:dyDescent="0.2">
      <c r="A374" s="237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</row>
    <row r="375" spans="1:22" x14ac:dyDescent="0.2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</row>
    <row r="376" spans="1:22" x14ac:dyDescent="0.2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</row>
    <row r="377" spans="1:22" x14ac:dyDescent="0.2">
      <c r="A377" s="237"/>
      <c r="B377" s="237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</row>
    <row r="378" spans="1:22" x14ac:dyDescent="0.2">
      <c r="A378" s="237"/>
      <c r="B378" s="237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</row>
    <row r="379" spans="1:22" x14ac:dyDescent="0.2">
      <c r="A379" s="237"/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</row>
    <row r="380" spans="1:22" x14ac:dyDescent="0.2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</row>
    <row r="381" spans="1:22" x14ac:dyDescent="0.2">
      <c r="A381" s="237"/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</row>
    <row r="382" spans="1:22" x14ac:dyDescent="0.2">
      <c r="A382" s="237"/>
      <c r="B382" s="237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</row>
    <row r="383" spans="1:22" x14ac:dyDescent="0.2">
      <c r="A383" s="237"/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</row>
    <row r="384" spans="1:22" x14ac:dyDescent="0.2">
      <c r="A384" s="237"/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</row>
    <row r="385" spans="1:22" x14ac:dyDescent="0.2">
      <c r="A385" s="237"/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</row>
    <row r="386" spans="1:22" x14ac:dyDescent="0.2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</row>
    <row r="387" spans="1:22" x14ac:dyDescent="0.2">
      <c r="A387" s="237"/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</row>
    <row r="388" spans="1:22" x14ac:dyDescent="0.2">
      <c r="A388" s="237"/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</row>
    <row r="389" spans="1:22" x14ac:dyDescent="0.2">
      <c r="A389" s="237"/>
      <c r="B389" s="237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</row>
    <row r="390" spans="1:22" x14ac:dyDescent="0.2">
      <c r="A390" s="237"/>
      <c r="B390" s="237"/>
      <c r="C390" s="237"/>
      <c r="D390" s="237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</row>
    <row r="391" spans="1:22" x14ac:dyDescent="0.2">
      <c r="A391" s="237"/>
      <c r="B391" s="237"/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</row>
    <row r="392" spans="1:22" x14ac:dyDescent="0.2">
      <c r="A392" s="237"/>
      <c r="B392" s="237"/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</row>
    <row r="393" spans="1:22" x14ac:dyDescent="0.2">
      <c r="A393" s="237"/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</row>
    <row r="394" spans="1:22" x14ac:dyDescent="0.2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</row>
  </sheetData>
  <sheetProtection formatCells="0" formatColumns="0" formatRows="0"/>
  <dataConsolidate/>
  <mergeCells count="233">
    <mergeCell ref="D208:E208"/>
    <mergeCell ref="F208:M208"/>
    <mergeCell ref="E209:M209"/>
    <mergeCell ref="E210:G210"/>
    <mergeCell ref="H210:I210"/>
    <mergeCell ref="J210:K210"/>
    <mergeCell ref="L210:M210"/>
    <mergeCell ref="A170:C170"/>
    <mergeCell ref="D170:E170"/>
    <mergeCell ref="G170:H170"/>
    <mergeCell ref="G171:H171"/>
    <mergeCell ref="I171:M171"/>
    <mergeCell ref="A206:M206"/>
    <mergeCell ref="A168:C168"/>
    <mergeCell ref="D168:E168"/>
    <mergeCell ref="G168:H168"/>
    <mergeCell ref="A169:C169"/>
    <mergeCell ref="D169:E169"/>
    <mergeCell ref="G169:H169"/>
    <mergeCell ref="A166:C166"/>
    <mergeCell ref="D166:E166"/>
    <mergeCell ref="G166:H166"/>
    <mergeCell ref="A167:C167"/>
    <mergeCell ref="D167:E167"/>
    <mergeCell ref="G167:H167"/>
    <mergeCell ref="A164:C164"/>
    <mergeCell ref="D164:E164"/>
    <mergeCell ref="G164:H164"/>
    <mergeCell ref="A165:C165"/>
    <mergeCell ref="D165:E165"/>
    <mergeCell ref="G165:H165"/>
    <mergeCell ref="A162:C162"/>
    <mergeCell ref="D162:E162"/>
    <mergeCell ref="G162:H162"/>
    <mergeCell ref="A163:C163"/>
    <mergeCell ref="D163:E163"/>
    <mergeCell ref="G163:H163"/>
    <mergeCell ref="A160:C160"/>
    <mergeCell ref="D160:E160"/>
    <mergeCell ref="G160:H160"/>
    <mergeCell ref="A161:C161"/>
    <mergeCell ref="D161:E161"/>
    <mergeCell ref="G161:H161"/>
    <mergeCell ref="A158:C158"/>
    <mergeCell ref="D158:E158"/>
    <mergeCell ref="G158:H158"/>
    <mergeCell ref="A159:C159"/>
    <mergeCell ref="D159:E159"/>
    <mergeCell ref="G159:H159"/>
    <mergeCell ref="K138:M138"/>
    <mergeCell ref="K139:M139"/>
    <mergeCell ref="K140:M140"/>
    <mergeCell ref="A141:C141"/>
    <mergeCell ref="A142:M142"/>
    <mergeCell ref="A156:C156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A85:M85"/>
    <mergeCell ref="A86:C86"/>
    <mergeCell ref="A88:C88"/>
    <mergeCell ref="A123:C123"/>
    <mergeCell ref="A125:C125"/>
    <mergeCell ref="K125:M125"/>
    <mergeCell ref="A61:M61"/>
    <mergeCell ref="A63:C63"/>
    <mergeCell ref="A73:C73"/>
    <mergeCell ref="A75:C75"/>
    <mergeCell ref="K75:M75"/>
    <mergeCell ref="A84:M84"/>
    <mergeCell ref="B59:C59"/>
    <mergeCell ref="F59:G59"/>
    <mergeCell ref="H59:I59"/>
    <mergeCell ref="J59:K59"/>
    <mergeCell ref="L59:M59"/>
    <mergeCell ref="A60:M60"/>
    <mergeCell ref="B57:C57"/>
    <mergeCell ref="F57:G57"/>
    <mergeCell ref="H57:I57"/>
    <mergeCell ref="J57:K57"/>
    <mergeCell ref="L57:M57"/>
    <mergeCell ref="B58:C58"/>
    <mergeCell ref="F58:G58"/>
    <mergeCell ref="H58:I58"/>
    <mergeCell ref="J58:K58"/>
    <mergeCell ref="L58:M58"/>
    <mergeCell ref="B55:C55"/>
    <mergeCell ref="F55:G55"/>
    <mergeCell ref="H55:I55"/>
    <mergeCell ref="J55:K55"/>
    <mergeCell ref="L55:M55"/>
    <mergeCell ref="B56:C56"/>
    <mergeCell ref="F56:G56"/>
    <mergeCell ref="H56:I56"/>
    <mergeCell ref="J56:K56"/>
    <mergeCell ref="L56:M56"/>
    <mergeCell ref="B53:C53"/>
    <mergeCell ref="F53:G53"/>
    <mergeCell ref="H53:I53"/>
    <mergeCell ref="J53:K53"/>
    <mergeCell ref="L53:M53"/>
    <mergeCell ref="B54:C54"/>
    <mergeCell ref="F54:G54"/>
    <mergeCell ref="H54:I54"/>
    <mergeCell ref="J54:K54"/>
    <mergeCell ref="L54:M54"/>
    <mergeCell ref="B51:C51"/>
    <mergeCell ref="F51:G51"/>
    <mergeCell ref="H51:I51"/>
    <mergeCell ref="J51:K51"/>
    <mergeCell ref="L51:M51"/>
    <mergeCell ref="B52:C52"/>
    <mergeCell ref="F52:G52"/>
    <mergeCell ref="H52:I52"/>
    <mergeCell ref="J52:K52"/>
    <mergeCell ref="L52:M52"/>
    <mergeCell ref="B49:C49"/>
    <mergeCell ref="F49:G49"/>
    <mergeCell ref="H49:I49"/>
    <mergeCell ref="J49:K49"/>
    <mergeCell ref="L49:M49"/>
    <mergeCell ref="B50:C50"/>
    <mergeCell ref="F50:G50"/>
    <mergeCell ref="H50:I50"/>
    <mergeCell ref="J50:K50"/>
    <mergeCell ref="L50:M50"/>
    <mergeCell ref="B47:C47"/>
    <mergeCell ref="F47:G47"/>
    <mergeCell ref="H47:I47"/>
    <mergeCell ref="J47:K47"/>
    <mergeCell ref="L47:M47"/>
    <mergeCell ref="B48:C48"/>
    <mergeCell ref="F48:G48"/>
    <mergeCell ref="H48:I48"/>
    <mergeCell ref="J48:K48"/>
    <mergeCell ref="L48:M48"/>
    <mergeCell ref="B45:C45"/>
    <mergeCell ref="F45:G45"/>
    <mergeCell ref="H45:I45"/>
    <mergeCell ref="J45:K45"/>
    <mergeCell ref="L45:M45"/>
    <mergeCell ref="B46:C46"/>
    <mergeCell ref="F46:G46"/>
    <mergeCell ref="H46:I46"/>
    <mergeCell ref="J46:K46"/>
    <mergeCell ref="L46:M46"/>
    <mergeCell ref="B43:C43"/>
    <mergeCell ref="F43:G43"/>
    <mergeCell ref="H43:I43"/>
    <mergeCell ref="J43:K43"/>
    <mergeCell ref="L43:M43"/>
    <mergeCell ref="B44:C44"/>
    <mergeCell ref="F44:G44"/>
    <mergeCell ref="H44:I44"/>
    <mergeCell ref="J44:K44"/>
    <mergeCell ref="L44:M44"/>
    <mergeCell ref="B41:C41"/>
    <mergeCell ref="F41:G41"/>
    <mergeCell ref="H41:I41"/>
    <mergeCell ref="J41:K41"/>
    <mergeCell ref="L41:M41"/>
    <mergeCell ref="B42:C42"/>
    <mergeCell ref="F42:G42"/>
    <mergeCell ref="H42:I42"/>
    <mergeCell ref="J42:K42"/>
    <mergeCell ref="L42:M42"/>
    <mergeCell ref="B39:C39"/>
    <mergeCell ref="F39:G39"/>
    <mergeCell ref="H39:I39"/>
    <mergeCell ref="J39:K39"/>
    <mergeCell ref="L39:M39"/>
    <mergeCell ref="B40:C40"/>
    <mergeCell ref="F40:G40"/>
    <mergeCell ref="H40:I40"/>
    <mergeCell ref="J40:K40"/>
    <mergeCell ref="L40:M40"/>
    <mergeCell ref="B37:C37"/>
    <mergeCell ref="F37:G37"/>
    <mergeCell ref="H37:I37"/>
    <mergeCell ref="J37:K37"/>
    <mergeCell ref="L37:M37"/>
    <mergeCell ref="B38:C38"/>
    <mergeCell ref="F38:G38"/>
    <mergeCell ref="H38:I38"/>
    <mergeCell ref="J38:K38"/>
    <mergeCell ref="L38:M38"/>
    <mergeCell ref="A35:C35"/>
    <mergeCell ref="F35:G35"/>
    <mergeCell ref="H35:I35"/>
    <mergeCell ref="J35:K35"/>
    <mergeCell ref="L35:M35"/>
    <mergeCell ref="B36:C36"/>
    <mergeCell ref="F36:G36"/>
    <mergeCell ref="H36:I36"/>
    <mergeCell ref="J36:K36"/>
    <mergeCell ref="L36:M36"/>
    <mergeCell ref="S6:S7"/>
    <mergeCell ref="A32:M32"/>
    <mergeCell ref="F34:G34"/>
    <mergeCell ref="H34:I34"/>
    <mergeCell ref="J34:K34"/>
    <mergeCell ref="L34:M34"/>
    <mergeCell ref="Q34:R34"/>
    <mergeCell ref="M6:M7"/>
    <mergeCell ref="N6:N7"/>
    <mergeCell ref="O6:O7"/>
    <mergeCell ref="P6:P7"/>
    <mergeCell ref="Q6:Q7"/>
    <mergeCell ref="R6:R7"/>
    <mergeCell ref="A6:A7"/>
    <mergeCell ref="B6:D7"/>
    <mergeCell ref="E6:E7"/>
    <mergeCell ref="F6:J6"/>
    <mergeCell ref="K6:K7"/>
    <mergeCell ref="L6:L7"/>
    <mergeCell ref="D1:D2"/>
    <mergeCell ref="F1:N1"/>
    <mergeCell ref="O1:Q1"/>
    <mergeCell ref="R1:S1"/>
    <mergeCell ref="F2:M2"/>
    <mergeCell ref="A4:J5"/>
    <mergeCell ref="K4:L5"/>
    <mergeCell ref="M4:M5"/>
    <mergeCell ref="P4:Q4"/>
  </mergeCells>
  <conditionalFormatting sqref="M8:M31">
    <cfRule type="expression" dxfId="26" priority="8">
      <formula>$S$4="Multi"</formula>
    </cfRule>
  </conditionalFormatting>
  <conditionalFormatting sqref="A209:M209">
    <cfRule type="expression" dxfId="25" priority="9">
      <formula>$H$210&lt;&gt;"CUSTOM"</formula>
    </cfRule>
  </conditionalFormatting>
  <conditionalFormatting sqref="A206:S206">
    <cfRule type="expression" dxfId="24" priority="13">
      <formula>$D$1="Non-NIH"</formula>
    </cfRule>
  </conditionalFormatting>
  <conditionalFormatting sqref="A142:S142">
    <cfRule type="expression" dxfId="23" priority="14">
      <formula>$D$1="Non-NIH"</formula>
    </cfRule>
    <cfRule type="expression" dxfId="22" priority="15">
      <formula>$D$1="Non-NIH"</formula>
    </cfRule>
  </conditionalFormatting>
  <conditionalFormatting sqref="L36:M59">
    <cfRule type="expression" dxfId="21" priority="1">
      <formula>$R$2="0 Months"</formula>
    </cfRule>
  </conditionalFormatting>
  <conditionalFormatting sqref="F36:G59">
    <cfRule type="expression" dxfId="20" priority="4">
      <formula>$O$2="0 Months"</formula>
    </cfRule>
  </conditionalFormatting>
  <conditionalFormatting sqref="H36:I59">
    <cfRule type="expression" dxfId="19" priority="3">
      <formula>$P$2="0 Months"</formula>
    </cfRule>
  </conditionalFormatting>
  <conditionalFormatting sqref="J36:K59">
    <cfRule type="expression" dxfId="18" priority="2">
      <formula>$Q$2="0 Months"</formula>
    </cfRule>
  </conditionalFormatting>
  <dataValidations count="18"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  <dataValidation type="list" allowBlank="1" showInputMessage="1" showErrorMessage="1" sqref="K126:M140">
      <formula1>"Non-UC,UC, IC of Above"</formula1>
    </dataValidation>
    <dataValidation type="list" allowBlank="1" showInputMessage="1" showErrorMessage="1" sqref="D1">
      <formula1>"NIH,Non-NIH"</formula1>
    </dataValidation>
    <dataValidation type="list" allowBlank="1" showInputMessage="1" showErrorMessage="1" sqref="D158:E158">
      <formula1>"Use Buydown, Use Full Rates"</formula1>
    </dataValidation>
    <dataValidation type="list" allowBlank="1" showInputMessage="1" showErrorMessage="1" sqref="D159:E170">
      <formula1>"Resident,Non-Resident,Part-Time,Summer Only, Filing Status, Fellowship,Other"</formula1>
    </dataValidation>
    <dataValidation type="list" allowBlank="1" showInputMessage="1" showErrorMessage="1" sqref="F158">
      <formula1>"AY,PY"</formula1>
    </dataValidation>
    <dataValidation type="list" allowBlank="1" showInputMessage="1" showErrorMessage="1" sqref="I158:M158">
      <formula1>"#GSRs,#Qrtr"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S34">
      <formula1>"No,Yes"</formula1>
    </dataValidation>
    <dataValidation type="list" allowBlank="1" showInputMessage="1" showErrorMessage="1" sqref="H210">
      <formula1>"MTDC,TC,TDC,CUSTOM"</formula1>
    </dataValidation>
    <dataValidation type="list" allowBlank="1" showInputMessage="1" showErrorMessage="1" sqref="I171:M171">
      <formula1>"Federal,Non-Federal"</formula1>
    </dataValidation>
    <dataValidation type="list" allowBlank="1" showInputMessage="1" showErrorMessage="1" sqref="F159:F170">
      <formula1>"0%,1%,2%,3%,4%,5%,6%,7%,8%,9%,10%"</formula1>
    </dataValidation>
    <dataValidation type="list" allowBlank="1" showInputMessage="1" showErrorMessage="1" sqref="M76:M85">
      <formula1>"Yes,No"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K8:K31">
      <formula1>"SMR,AY,CAL"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9CD03E6E-BD37-444F-A73B-006A1D1B1E77}">
            <xm:f>$F$208&lt;&gt;'W10'!$A$91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H210:K210 E210</xm:sqref>
        </x14:conditionalFormatting>
        <x14:conditionalFormatting xmlns:xm="http://schemas.microsoft.com/office/excel/2006/main">
          <x14:cfRule type="expression" priority="11" id="{59793F3C-7811-42C7-9E3B-7F1FB05B6435}">
            <xm:f>$F$208&lt;&gt;'W10'!$A$91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L210:M210</xm:sqref>
        </x14:conditionalFormatting>
        <x14:conditionalFormatting xmlns:xm="http://schemas.microsoft.com/office/excel/2006/main">
          <x14:cfRule type="expression" priority="12" id="{044ADF0C-7EE3-4F3D-8759-F8CD7CC818C6}">
            <xm:f>$F$208&lt;&gt;'W10'!$A$91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E209:M209</xm:sqref>
        </x14:conditionalFormatting>
        <x14:conditionalFormatting xmlns:xm="http://schemas.microsoft.com/office/excel/2006/main">
          <x14:cfRule type="expression" priority="7" id="{34C727A5-8AF4-49B7-86D5-F3C4F4AE7EB2}">
            <xm:f>'W10'!$G$5=0</xm:f>
            <x14:dxf>
              <font>
                <color theme="0"/>
              </font>
            </x14:dxf>
          </x14:cfRule>
          <xm:sqref>L36:M59</xm:sqref>
        </x14:conditionalFormatting>
        <x14:conditionalFormatting xmlns:xm="http://schemas.microsoft.com/office/excel/2006/main">
          <x14:cfRule type="expression" priority="6" id="{ADC17075-4B0B-4080-8CE9-EE3323F98944}">
            <xm:f>'W10'!$B$5&lt;'W10'!$C$1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5" id="{58CF108A-C75E-4C9E-9F18-7764C84693A3}">
            <xm:f>'W10'!$B$5&lt;'W10'!$C$1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'W10'!$A$86:$A$91</xm:f>
          </x14:formula1>
          <xm:sqref>F208</xm:sqref>
        </x14:dataValidation>
        <x14:dataValidation type="list" allowBlank="1" showInputMessage="1" showErrorMessage="1">
          <x14:formula1>
            <xm:f>'W10'!$A$58:$A$70</xm:f>
          </x14:formula1>
          <xm:sqref>D36:D59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A32" sqref="A32:E32"/>
    </sheetView>
  </sheetViews>
  <sheetFormatPr defaultColWidth="8.85546875" defaultRowHeight="14.25" x14ac:dyDescent="0.2"/>
  <cols>
    <col min="1" max="1" width="37.28515625" style="1" customWidth="1"/>
    <col min="2" max="11" width="13.28515625" style="1" customWidth="1"/>
    <col min="12" max="13" width="8.85546875" style="1"/>
    <col min="14" max="14" width="11.28515625" style="1" bestFit="1" customWidth="1"/>
    <col min="15" max="16384" width="8.85546875" style="1"/>
  </cols>
  <sheetData>
    <row r="1" spans="1:11" ht="23.45" customHeight="1" x14ac:dyDescent="0.2">
      <c r="A1" s="271" t="str">
        <f>"Component: "&amp;'R9'!F1</f>
        <v xml:space="preserve">Component: </v>
      </c>
    </row>
    <row r="2" spans="1:11" ht="13.9" customHeight="1" x14ac:dyDescent="0.2">
      <c r="A2" s="447" t="s">
        <v>132</v>
      </c>
      <c r="B2" s="449" t="s">
        <v>202</v>
      </c>
      <c r="C2" s="450"/>
      <c r="D2" s="449" t="s">
        <v>203</v>
      </c>
      <c r="E2" s="450"/>
      <c r="F2" s="449" t="s">
        <v>204</v>
      </c>
      <c r="G2" s="450"/>
      <c r="H2" s="449" t="s">
        <v>205</v>
      </c>
      <c r="I2" s="450"/>
      <c r="J2" s="449" t="s">
        <v>206</v>
      </c>
      <c r="K2" s="450"/>
    </row>
    <row r="3" spans="1:11" ht="13.9" customHeight="1" x14ac:dyDescent="0.2">
      <c r="A3" s="448"/>
      <c r="B3" s="451"/>
      <c r="C3" s="452"/>
      <c r="D3" s="451"/>
      <c r="E3" s="452"/>
      <c r="F3" s="451"/>
      <c r="G3" s="452"/>
      <c r="H3" s="451"/>
      <c r="I3" s="452"/>
      <c r="J3" s="451"/>
      <c r="K3" s="452"/>
    </row>
    <row r="4" spans="1:11" ht="6.6" customHeight="1" x14ac:dyDescent="0.2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x14ac:dyDescent="0.2">
      <c r="A5" s="220" t="s">
        <v>207</v>
      </c>
      <c r="B5" s="218" t="str">
        <f>(IF('W9'!B97='W9'!C97,TEXT('W9'!C2,"m/d/yy")&amp;" -",TEXT('W9'!C2,"m/d/yy")&amp;"-"&amp;TEXT((DATE(YEAR('W9'!C2),MONTH('W9'!C2)+'W9'!C6,DAY('W9'!C2)-1)),"m/d/yy")))</f>
        <v>10/1/17 -</v>
      </c>
      <c r="C5" s="219" t="str">
        <f>(IF('W9'!B97='W9'!C97,TEXT('W9'!C3,"m/d/yy"),TEXT('W9'!C18,"m/d/yy")&amp;"-"&amp;TEXT('W9'!C19,"m/d/yy")))</f>
        <v>9/30/18</v>
      </c>
      <c r="D5" s="218" t="str">
        <f>(IF('W9'!D97='W9'!E97,TEXT('W9'!D2,"m/d/yy")&amp;" -",TEXT('W9'!D2,"m/d/yy")&amp;"-"&amp;TEXT((DATE(YEAR('W9'!D2),MONTH('W9'!D2)+'W9'!D6,DAY('W9'!D2)-1)),"m/d/yy")))</f>
        <v>10/1/18 -</v>
      </c>
      <c r="E5" s="219" t="str">
        <f>(IF('W9'!D97='W9'!E97,TEXT('W9'!D3,"m/d/yy"),TEXT('W9'!D18,"m/d/yy")&amp;"-"&amp;TEXT('W9'!D19,"m/d/yy")))</f>
        <v>9/30/19</v>
      </c>
      <c r="F5" s="218" t="str">
        <f>(IF('W9'!F97='W9'!G97,TEXT('W9'!E2,"m/d/yy")&amp;" -",TEXT('W9'!E2,"m/d/yy")&amp;"-"&amp;TEXT((DATE(YEAR('W9'!E2),MONTH('W9'!E2)+'W9'!E6,DAY('W9'!E2)-1)),"m/d/yy")))</f>
        <v>10/1/19 -</v>
      </c>
      <c r="G5" s="219" t="str">
        <f>(IF('W9'!F97='W9'!G97,TEXT('W9'!E3,"m/d/yy"),TEXT('W9'!E18,"m/d/yy")&amp;"-"&amp;TEXT('W9'!E19,"m/d/yy")))</f>
        <v>9/30/20</v>
      </c>
      <c r="H5" s="218" t="str">
        <f>(IF('W9'!H97='W9'!I97,TEXT('W9'!F2,"m/d/yy")&amp;" -",TEXT('W9'!F2,"m/d/yy")&amp;"-"&amp;TEXT((DATE(YEAR('W9'!F2),MONTH('W9'!F2)+'W9'!F6,DAY('W9'!F2)-1)),"m/d/yy")))</f>
        <v>10/1/20 -</v>
      </c>
      <c r="I5" s="219" t="str">
        <f>(IF('W9'!H97='W9'!I97,TEXT('W9'!F3,"m/d/yy"),TEXT('W9'!F18,"m/d/yy")&amp;"-"&amp;TEXT('W9'!F19,"m/d/yy")))</f>
        <v>9/30/21</v>
      </c>
      <c r="J5" s="218" t="str">
        <f>(IF('W9'!J97='W9'!K97,TEXT('W9'!G2,"m/d/yy")&amp;" -",TEXT('W9'!G2,"m/d/yy")&amp;"-"&amp;TEXT((DATE(YEAR('W9'!G2),MONTH('W9'!G2)+'W9'!G6,DAY('W9'!G2)-1)),"m/d/yy")))</f>
        <v>10/1/21 -</v>
      </c>
      <c r="K5" s="219" t="str">
        <f>(IF('W9'!J97='W9'!K97,TEXT('W9'!G3,"m/d/yy"),TEXT('W9'!G18,"m/d/yy")&amp;"-"&amp;TEXT('W9'!G19,"m/d/yy")))</f>
        <v>9/30/22</v>
      </c>
    </row>
    <row r="6" spans="1:11" x14ac:dyDescent="0.2">
      <c r="A6" s="170" t="str">
        <f>"Base Type: "&amp;IF('R9'!F208&lt;&gt;'W9'!A91,"MTDC",'R9'!H210)</f>
        <v>Base Type: MTDC</v>
      </c>
      <c r="B6" s="171" t="str">
        <f>IF('W9'!B97&lt;&gt;'W9'!C97,'W9'!B97,"")</f>
        <v/>
      </c>
      <c r="C6" s="172">
        <f>'W9'!C97</f>
        <v>0.56999999999999995</v>
      </c>
      <c r="D6" s="171" t="str">
        <f>IF('W9'!D97&lt;&gt;'W9'!E97,'W9'!D97,"")</f>
        <v/>
      </c>
      <c r="E6" s="172">
        <f>IF(E5="","",'W9'!E97)</f>
        <v>0.56999999999999995</v>
      </c>
      <c r="F6" s="171" t="str">
        <f>IF('W9'!F97&lt;&gt;'W9'!G97,'W9'!F97,"")</f>
        <v/>
      </c>
      <c r="G6" s="172">
        <f>IF(G5="","",'W9'!G97)</f>
        <v>0.56999999999999995</v>
      </c>
      <c r="H6" s="171" t="str">
        <f>IF('W9'!H97&lt;&gt;'W9'!I97,'W9'!H97,"")</f>
        <v/>
      </c>
      <c r="I6" s="172">
        <f>IF(I5="","",'W9'!I97)</f>
        <v>0.56999999999999995</v>
      </c>
      <c r="J6" s="171" t="str">
        <f>IF('W9'!J97&lt;&gt;'W9'!K97,'W9'!J97,"")</f>
        <v/>
      </c>
      <c r="K6" s="172">
        <f>IF(K5="","",'W9'!K97)</f>
        <v>0.56999999999999995</v>
      </c>
    </row>
    <row r="7" spans="1:11" x14ac:dyDescent="0.2">
      <c r="A7" s="170" t="s">
        <v>208</v>
      </c>
      <c r="B7" s="173" t="str">
        <f>IF('W9'!B97&lt;&gt;'W9'!C97,(ROUND(('R9'!N208-C9)/'W9'!C5*'W9'!C6*'W9'!B97,0)),"")</f>
        <v/>
      </c>
      <c r="C7" s="174">
        <f ca="1">IF('W9'!B97&lt;&gt;'W9'!C97,ROUND(('R9'!N208-C9)/'W9'!C5*'W9'!C7*'W9'!C97,0),'R9'!N208-C9)</f>
        <v>0</v>
      </c>
      <c r="D7" s="173" t="str">
        <f>IF('W9'!D97&lt;&gt;'W9'!E97,ROUND(('R9'!O208-E9)/'W9'!D5*'W9'!D6*'W9'!D97,0),"")</f>
        <v/>
      </c>
      <c r="E7" s="174">
        <f ca="1">IF(E5="","",IF('W9'!D97&lt;&gt;'W9'!E97,ROUND(('R9'!O208-E9)/'W9'!D5*'W9'!D7*'W9'!E97,0),'R9'!O208-E9))</f>
        <v>0</v>
      </c>
      <c r="F7" s="173" t="str">
        <f>IF('W9'!F97&lt;&gt;'W9'!G97,ROUND(('R9'!P208-G9)/'W9'!E5*'W9'!E6*'W9'!F97,0),"")</f>
        <v/>
      </c>
      <c r="G7" s="174">
        <f ca="1">IF(G5="","",IF('W9'!F97&lt;&gt;'W9'!G97,ROUND(('R9'!P208-G9)/'W9'!E5*'W9'!E7*'W9'!G97,0),'R9'!P208-G9))</f>
        <v>0</v>
      </c>
      <c r="H7" s="173" t="str">
        <f>IF('W9'!H97&lt;&gt;'W9'!I97,ROUND(('R9'!Q208-I9)/'W9'!E5*'W9'!E6*'W9'!H97,0),"")</f>
        <v/>
      </c>
      <c r="I7" s="174">
        <f ca="1">IF(I5="","",IF('W9'!H97&lt;&gt;'W9'!I97,ROUND(('R9'!Q208-I9)/'W9'!F5*'W9'!F7*'W9'!I97,0),'R9'!Q208-I9))</f>
        <v>0</v>
      </c>
      <c r="J7" s="173" t="str">
        <f>IF('W9'!J97&lt;&gt;'W9'!K97,ROUND(('R9'!R208-K9)/'W9'!E5*'W9'!E6*'W9'!J97,0),"")</f>
        <v/>
      </c>
      <c r="K7" s="174">
        <f ca="1">IF(K5="","",IF('W9'!J97&lt;&gt;'W9'!K97,ROUND(('R9'!R208-K9)/'W9'!G5*'W9'!G7*'W9'!K97,0),'R9'!R208-K9))</f>
        <v>0</v>
      </c>
    </row>
    <row r="8" spans="1:11" x14ac:dyDescent="0.2">
      <c r="A8" s="175" t="s">
        <v>84</v>
      </c>
      <c r="B8" s="176" t="str">
        <f>IF('W9'!B97='W9'!C97,"",ROUND(B7*'W9'!B97,0))</f>
        <v/>
      </c>
      <c r="C8" s="177">
        <f ca="1">IF('W9'!B97='W9'!C97,'R9'!N210-'F9'!C10,'R9'!N210-'F9'!B8-'F9'!C10)</f>
        <v>0</v>
      </c>
      <c r="D8" s="176" t="str">
        <f>IF('W9'!D97='W9'!E97,"",ROUND(D7*'W9'!D97,0))</f>
        <v/>
      </c>
      <c r="E8" s="177">
        <f ca="1">IF(E5="","",IF('W9'!D97='W9'!E97,'R9'!O210-'F9'!E10,'R9'!O210-'F9'!D8-'F9'!E10))</f>
        <v>0</v>
      </c>
      <c r="F8" s="176" t="str">
        <f>IF('W9'!F97='W9'!G97,"",ROUND(F7*'W9'!F97,0))</f>
        <v/>
      </c>
      <c r="G8" s="177">
        <f ca="1">IF(G5="","",IF('W9'!F97='W9'!G97,'R9'!P210-'F9'!G10,'R9'!P210-'F9'!F8-'F9'!G10))</f>
        <v>0</v>
      </c>
      <c r="H8" s="176" t="str">
        <f>IF('W9'!H97='W9'!I97,"",ROUND(H7*'W9'!H97,0))</f>
        <v/>
      </c>
      <c r="I8" s="177">
        <f ca="1">IF(I5="","",IF('W9'!H97='W9'!I97,'R9'!Q210-'F9'!I10,'R9'!Q210-'F9'!H8-'F9'!I10))</f>
        <v>0</v>
      </c>
      <c r="J8" s="176" t="str">
        <f>IF('W9'!J97='W9'!K97,"",ROUND(J7*'W9'!J97,0))</f>
        <v/>
      </c>
      <c r="K8" s="177">
        <f ca="1">IF(K5="","",IF('W9'!J97='W9'!K97,'R9'!R210-'F9'!K10,'R9'!R210-'F9'!J8-'F9'!K10))</f>
        <v>0</v>
      </c>
    </row>
    <row r="9" spans="1:11" ht="15" x14ac:dyDescent="0.25">
      <c r="A9" s="178" t="s">
        <v>209</v>
      </c>
      <c r="B9" s="180"/>
      <c r="C9" s="179">
        <f>IF(AND('R9'!F208='W9'!A91,'R9'!H210="TC"),ROUND(SUM('R9'!N172:N176)/(1-'R9'!L210),0),SUM('R9'!N172:N176))</f>
        <v>0</v>
      </c>
      <c r="D9" s="180"/>
      <c r="E9" s="179">
        <f>IF(E5="","",IF(AND('R9'!F208='W9'!A91,'R9'!H210="TC"),ROUND(SUM('R9'!O172:O176)/(1-'R9'!L210),0),SUM('R9'!O172:O176)))</f>
        <v>0</v>
      </c>
      <c r="F9" s="180"/>
      <c r="G9" s="179">
        <f>IF(G5="","",IF(AND('R9'!F208='W9'!A91,'R9'!H210="TC"),ROUND(SUM('R9'!P172:P176)/(1-'R9'!L210),0),SUM('R9'!P172:P176)))</f>
        <v>0</v>
      </c>
      <c r="H9" s="180"/>
      <c r="I9" s="179">
        <f>IF(I5="","",IF(AND('R9'!F208='W9'!A91,'R9'!H210="TC"),ROUND(SUM('R9'!Q172:Q176)/(1-'R9'!L210),0),SUM('R9'!Q172:Q176)))</f>
        <v>0</v>
      </c>
      <c r="J9" s="180"/>
      <c r="K9" s="179">
        <f>IF(K5="","",IF(AND('R9'!F208='W9'!A91,'R9'!H210="TC"),ROUND(SUM('R9'!R172:R176)/(1-'R9'!L210),0),SUM('R9'!R172:R176)))</f>
        <v>0</v>
      </c>
    </row>
    <row r="10" spans="1:11" x14ac:dyDescent="0.2">
      <c r="A10" s="175" t="str">
        <f>"Primate Indirect: "&amp;IF('R9'!$F$208='W9'!A91,'F9'!C6*100&amp;"%",IF('R9'!I171="Federal","54.4%","89%"))</f>
        <v>Primate Indirect: 54.4%</v>
      </c>
      <c r="B10" s="181"/>
      <c r="C10" s="182">
        <f>IF('R9'!$F$208='W9'!$A$91,ROUND(C9*'W9'!$B$91,0),IF('R9'!$I$171="Federal",ROUND(C9*0.544,0),ROUND(C9*0.89,0)))</f>
        <v>0</v>
      </c>
      <c r="D10" s="181"/>
      <c r="E10" s="182">
        <f>IF(E5="","",IF('R9'!$F$208='W9'!$A$91,ROUND(E9*'W9'!$B$91,0),IF('R9'!$I$171="Federal",ROUND(E9*0.544,0),ROUND(E9*0.89,0))))</f>
        <v>0</v>
      </c>
      <c r="F10" s="181"/>
      <c r="G10" s="182">
        <f>IF(G5="","",IF('R9'!$F$208='W9'!$A$91,ROUND(G9*'W9'!$B$91,0),IF('R9'!$I$171="Federal",ROUND(G9*0.544,0),ROUND(G9*0.89,0))))</f>
        <v>0</v>
      </c>
      <c r="H10" s="181"/>
      <c r="I10" s="182">
        <f>IF(I5="","",IF('R9'!$F$208='W9'!$A$91,ROUND(I9*'W9'!$B$91,0),IF('R9'!$I$171="Federal",ROUND(I9*0.544,0),ROUND(I9*0.89,0))))</f>
        <v>0</v>
      </c>
      <c r="J10" s="181"/>
      <c r="K10" s="182">
        <f>IF(K5="","",IF('R9'!$F$208='W9'!$A$91,ROUND(K9*'W9'!$B$91,0),IF('R9'!$I$171="Federal",ROUND(K9*0.544,0),ROUND(K9*0.89,0))))</f>
        <v>0</v>
      </c>
    </row>
    <row r="11" spans="1:11" ht="15" customHeight="1" x14ac:dyDescent="0.2">
      <c r="A11" s="260" t="s">
        <v>212</v>
      </c>
      <c r="B11" s="183"/>
      <c r="C11" s="184">
        <f ca="1">IF('W9'!B97='W9'!C97,C8+C10,B8+C8+C10)</f>
        <v>0</v>
      </c>
      <c r="D11" s="185"/>
      <c r="E11" s="184">
        <f ca="1">IF(E5="","",IF('W9'!D97='W9'!E97,E8+E10,D8+E8+E10))</f>
        <v>0</v>
      </c>
      <c r="F11" s="185"/>
      <c r="G11" s="184">
        <f ca="1">IF(G5="","",IF('W9'!F97='W9'!G97,G8+G10,F8+G8+G10))</f>
        <v>0</v>
      </c>
      <c r="H11" s="185"/>
      <c r="I11" s="184">
        <f ca="1">IF(I5="","",IF('W9'!H97='W9'!I97,I8+I10,H8+I8+I10))</f>
        <v>0</v>
      </c>
      <c r="J11" s="185"/>
      <c r="K11" s="184">
        <f ca="1">IF(K5="","",IF('W9'!J97='W9'!K97,K8+K10,J8+K8+K10))</f>
        <v>0</v>
      </c>
    </row>
    <row r="12" spans="1:11" x14ac:dyDescent="0.2">
      <c r="A12" s="442" t="s">
        <v>211</v>
      </c>
      <c r="B12" s="443"/>
      <c r="C12" s="443"/>
      <c r="D12" s="443"/>
      <c r="E12" s="443"/>
      <c r="F12" s="443"/>
      <c r="G12" s="443"/>
      <c r="H12" s="443"/>
      <c r="I12" s="444"/>
      <c r="J12" s="445">
        <f ca="1">IF(C5&lt;&gt;"",C11,0)+IF(E5&lt;&gt;"",E11,0)+IF(G5&lt;&gt;"",G11,0)+IF(I5&lt;&gt;"",I11,0)+IF(K5&lt;&gt;"",K11,0)</f>
        <v>0</v>
      </c>
      <c r="K12" s="446"/>
    </row>
    <row r="13" spans="1:11" x14ac:dyDescent="0.2">
      <c r="C13" s="217"/>
    </row>
    <row r="14" spans="1:11" x14ac:dyDescent="0.2">
      <c r="C14" s="217"/>
    </row>
    <row r="15" spans="1:11" x14ac:dyDescent="0.2">
      <c r="C15" s="217"/>
    </row>
  </sheetData>
  <mergeCells count="8">
    <mergeCell ref="A12:I12"/>
    <mergeCell ref="J12:K12"/>
    <mergeCell ref="A2:A3"/>
    <mergeCell ref="B2:C3"/>
    <mergeCell ref="D2:E3"/>
    <mergeCell ref="F2:G3"/>
    <mergeCell ref="H2:I3"/>
    <mergeCell ref="J2:K3"/>
  </mergeCells>
  <conditionalFormatting sqref="C5:C7">
    <cfRule type="expression" dxfId="11" priority="6">
      <formula>$B$6=""</formula>
    </cfRule>
  </conditionalFormatting>
  <conditionalFormatting sqref="D5:D8">
    <cfRule type="expression" dxfId="10" priority="5">
      <formula>$D$6=""</formula>
    </cfRule>
  </conditionalFormatting>
  <conditionalFormatting sqref="F5:F8">
    <cfRule type="expression" dxfId="9" priority="4">
      <formula>$F$6=""</formula>
    </cfRule>
  </conditionalFormatting>
  <conditionalFormatting sqref="H5:H8">
    <cfRule type="expression" dxfId="8" priority="3">
      <formula>$H$6=""</formula>
    </cfRule>
  </conditionalFormatting>
  <conditionalFormatting sqref="J5:J8">
    <cfRule type="expression" dxfId="7" priority="2">
      <formula>$J$6=""</formula>
    </cfRule>
  </conditionalFormatting>
  <conditionalFormatting sqref="B5:B8">
    <cfRule type="expression" dxfId="6" priority="1">
      <formula>$D$6=""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A32" sqref="A32:E32"/>
    </sheetView>
  </sheetViews>
  <sheetFormatPr defaultColWidth="8.85546875" defaultRowHeight="14.25" x14ac:dyDescent="0.2"/>
  <cols>
    <col min="1" max="1" width="37.28515625" style="1" customWidth="1"/>
    <col min="2" max="11" width="13.28515625" style="1" customWidth="1"/>
    <col min="12" max="13" width="8.85546875" style="1"/>
    <col min="14" max="14" width="11.28515625" style="1" bestFit="1" customWidth="1"/>
    <col min="15" max="16384" width="8.85546875" style="1"/>
  </cols>
  <sheetData>
    <row r="1" spans="1:11" ht="23.45" customHeight="1" x14ac:dyDescent="0.2">
      <c r="A1" s="271" t="str">
        <f>"Component: "&amp;'R10'!F1</f>
        <v xml:space="preserve">Component: </v>
      </c>
    </row>
    <row r="2" spans="1:11" ht="13.9" customHeight="1" x14ac:dyDescent="0.2">
      <c r="A2" s="447" t="s">
        <v>132</v>
      </c>
      <c r="B2" s="449" t="s">
        <v>202</v>
      </c>
      <c r="C2" s="450"/>
      <c r="D2" s="449" t="s">
        <v>203</v>
      </c>
      <c r="E2" s="450"/>
      <c r="F2" s="449" t="s">
        <v>204</v>
      </c>
      <c r="G2" s="450"/>
      <c r="H2" s="449" t="s">
        <v>205</v>
      </c>
      <c r="I2" s="450"/>
      <c r="J2" s="449" t="s">
        <v>206</v>
      </c>
      <c r="K2" s="450"/>
    </row>
    <row r="3" spans="1:11" ht="13.9" customHeight="1" x14ac:dyDescent="0.2">
      <c r="A3" s="448"/>
      <c r="B3" s="451"/>
      <c r="C3" s="452"/>
      <c r="D3" s="451"/>
      <c r="E3" s="452"/>
      <c r="F3" s="451"/>
      <c r="G3" s="452"/>
      <c r="H3" s="451"/>
      <c r="I3" s="452"/>
      <c r="J3" s="451"/>
      <c r="K3" s="452"/>
    </row>
    <row r="4" spans="1:11" ht="6.6" customHeight="1" x14ac:dyDescent="0.2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x14ac:dyDescent="0.2">
      <c r="A5" s="220" t="s">
        <v>207</v>
      </c>
      <c r="B5" s="218" t="str">
        <f>(IF('W10'!B97='W10'!C97,TEXT('W10'!C2,"m/d/yy")&amp;" -",TEXT('W10'!C2,"m/d/yy")&amp;"-"&amp;TEXT((DATE(YEAR('W10'!C2),MONTH('W10'!C2)+'W10'!C6,DAY('W10'!C2)-1)),"m/d/yy")))</f>
        <v>10/1/17 -</v>
      </c>
      <c r="C5" s="219" t="str">
        <f>(IF('W10'!B97='W10'!C97,TEXT('W10'!C3,"m/d/yy"),TEXT('W10'!C18,"m/d/yy")&amp;"-"&amp;TEXT('W10'!C19,"m/d/yy")))</f>
        <v>9/30/18</v>
      </c>
      <c r="D5" s="218" t="str">
        <f>(IF('W10'!D97='W10'!E97,TEXT('W10'!D2,"m/d/yy")&amp;" -",TEXT('W10'!D2,"m/d/yy")&amp;"-"&amp;TEXT((DATE(YEAR('W10'!D2),MONTH('W10'!D2)+'W10'!D6,DAY('W10'!D2)-1)),"m/d/yy")))</f>
        <v>10/1/18 -</v>
      </c>
      <c r="E5" s="219" t="str">
        <f>(IF('W10'!D97='W10'!E97,TEXT('W10'!D3,"m/d/yy"),TEXT('W10'!D18,"m/d/yy")&amp;"-"&amp;TEXT('W10'!D19,"m/d/yy")))</f>
        <v>9/30/19</v>
      </c>
      <c r="F5" s="218" t="str">
        <f>(IF('W10'!F97='W10'!G97,TEXT('W10'!E2,"m/d/yy")&amp;" -",TEXT('W10'!E2,"m/d/yy")&amp;"-"&amp;TEXT((DATE(YEAR('W10'!E2),MONTH('W10'!E2)+'W10'!E6,DAY('W10'!E2)-1)),"m/d/yy")))</f>
        <v>10/1/19 -</v>
      </c>
      <c r="G5" s="219" t="str">
        <f>(IF('W10'!F97='W10'!G97,TEXT('W10'!E3,"m/d/yy"),TEXT('W10'!E18,"m/d/yy")&amp;"-"&amp;TEXT('W10'!E19,"m/d/yy")))</f>
        <v>9/30/20</v>
      </c>
      <c r="H5" s="218" t="str">
        <f>(IF('W10'!H97='W10'!I97,TEXT('W10'!F2,"m/d/yy")&amp;" -",TEXT('W10'!F2,"m/d/yy")&amp;"-"&amp;TEXT((DATE(YEAR('W10'!F2),MONTH('W10'!F2)+'W10'!F6,DAY('W10'!F2)-1)),"m/d/yy")))</f>
        <v>10/1/20 -</v>
      </c>
      <c r="I5" s="219" t="str">
        <f>(IF('W10'!H97='W10'!I97,TEXT('W10'!F3,"m/d/yy"),TEXT('W10'!F18,"m/d/yy")&amp;"-"&amp;TEXT('W10'!F19,"m/d/yy")))</f>
        <v>9/30/21</v>
      </c>
      <c r="J5" s="218" t="str">
        <f>(IF('W10'!J97='W10'!K97,TEXT('W10'!G2,"m/d/yy")&amp;" -",TEXT('W10'!G2,"m/d/yy")&amp;"-"&amp;TEXT((DATE(YEAR('W10'!G2),MONTH('W10'!G2)+'W10'!G6,DAY('W10'!G2)-1)),"m/d/yy")))</f>
        <v>10/1/21 -</v>
      </c>
      <c r="K5" s="219" t="str">
        <f>(IF('W10'!J97='W10'!K97,TEXT('W10'!G3,"m/d/yy"),TEXT('W10'!G18,"m/d/yy")&amp;"-"&amp;TEXT('W10'!G19,"m/d/yy")))</f>
        <v>9/30/22</v>
      </c>
    </row>
    <row r="6" spans="1:11" x14ac:dyDescent="0.2">
      <c r="A6" s="170" t="str">
        <f>"Base Type: "&amp;IF('R10'!F208&lt;&gt;'W10'!A91,"MTDC",'R10'!H210)</f>
        <v>Base Type: MTDC</v>
      </c>
      <c r="B6" s="171" t="str">
        <f>IF('W10'!B97&lt;&gt;'W10'!C97,'W10'!B97,"")</f>
        <v/>
      </c>
      <c r="C6" s="172">
        <f>'W10'!C97</f>
        <v>0.56999999999999995</v>
      </c>
      <c r="D6" s="171" t="str">
        <f>IF('W10'!D97&lt;&gt;'W10'!E97,'W10'!D97,"")</f>
        <v/>
      </c>
      <c r="E6" s="172">
        <f>IF(E5="","",'W10'!E97)</f>
        <v>0.56999999999999995</v>
      </c>
      <c r="F6" s="171" t="str">
        <f>IF('W10'!F97&lt;&gt;'W10'!G97,'W10'!F97,"")</f>
        <v/>
      </c>
      <c r="G6" s="172">
        <f>IF(G5="","",'W10'!G97)</f>
        <v>0.56999999999999995</v>
      </c>
      <c r="H6" s="171" t="str">
        <f>IF('W10'!H97&lt;&gt;'W10'!I97,'W10'!H97,"")</f>
        <v/>
      </c>
      <c r="I6" s="172">
        <f>IF(I5="","",'W10'!I97)</f>
        <v>0.56999999999999995</v>
      </c>
      <c r="J6" s="171" t="str">
        <f>IF('W10'!J97&lt;&gt;'W10'!K97,'W10'!J97,"")</f>
        <v/>
      </c>
      <c r="K6" s="172">
        <f>IF(K5="","",'W10'!K97)</f>
        <v>0.56999999999999995</v>
      </c>
    </row>
    <row r="7" spans="1:11" x14ac:dyDescent="0.2">
      <c r="A7" s="170" t="s">
        <v>208</v>
      </c>
      <c r="B7" s="173" t="str">
        <f>IF('W10'!B97&lt;&gt;'W10'!C97,(ROUND(('R10'!N208-C9)/'W10'!C5*'W10'!C6*'W10'!B97,0)),"")</f>
        <v/>
      </c>
      <c r="C7" s="174">
        <f ca="1">IF('W10'!B97&lt;&gt;'W10'!C97,ROUND(('R10'!N208-C9)/'W10'!C5*'W10'!C7*'W10'!C97,0),'R10'!N208-C9)</f>
        <v>0</v>
      </c>
      <c r="D7" s="173" t="str">
        <f>IF('W10'!D97&lt;&gt;'W10'!E97,ROUND(('R10'!O208-E9)/'W10'!D5*'W10'!D6*'W10'!D97,0),"")</f>
        <v/>
      </c>
      <c r="E7" s="174">
        <f ca="1">IF(E5="","",IF('W10'!D97&lt;&gt;'W10'!E97,ROUND(('R10'!O208-E9)/'W10'!D5*'W10'!D7*'W10'!E97,0),'R10'!O208-E9))</f>
        <v>0</v>
      </c>
      <c r="F7" s="173" t="str">
        <f>IF('W10'!F97&lt;&gt;'W10'!G97,ROUND(('R10'!P208-G9)/'W10'!E5*'W10'!E6*'W10'!F97,0),"")</f>
        <v/>
      </c>
      <c r="G7" s="174">
        <f ca="1">IF(G5="","",IF('W10'!F97&lt;&gt;'W10'!G97,ROUND(('R10'!P208-G9)/'W10'!E5*'W10'!E7*'W10'!G97,0),'R10'!P208-G9))</f>
        <v>0</v>
      </c>
      <c r="H7" s="173" t="str">
        <f>IF('W10'!H97&lt;&gt;'W10'!I97,ROUND(('R10'!Q208-I9)/'W10'!E5*'W10'!E6*'W10'!H97,0),"")</f>
        <v/>
      </c>
      <c r="I7" s="174">
        <f ca="1">IF(I5="","",IF('W10'!H97&lt;&gt;'W10'!I97,ROUND(('R10'!Q208-I9)/'W10'!F5*'W10'!F7*'W10'!I97,0),'R10'!Q208-I9))</f>
        <v>0</v>
      </c>
      <c r="J7" s="173" t="str">
        <f>IF('W10'!J97&lt;&gt;'W10'!K97,ROUND(('R10'!R208-K9)/'W10'!E5*'W10'!E6*'W10'!J97,0),"")</f>
        <v/>
      </c>
      <c r="K7" s="174">
        <f ca="1">IF(K5="","",IF('W10'!J97&lt;&gt;'W10'!K97,ROUND(('R10'!R208-K9)/'W10'!G5*'W10'!G7*'W10'!K97,0),'R10'!R208-K9))</f>
        <v>0</v>
      </c>
    </row>
    <row r="8" spans="1:11" x14ac:dyDescent="0.2">
      <c r="A8" s="175" t="s">
        <v>84</v>
      </c>
      <c r="B8" s="176" t="str">
        <f>IF('W10'!B97='W10'!C97,"",ROUND(B7*'W10'!B97,0))</f>
        <v/>
      </c>
      <c r="C8" s="177">
        <f ca="1">IF('W10'!B97='W10'!C97,'R10'!N210-'F10'!C10,'R10'!N210-'F10'!B8-'F10'!C10)</f>
        <v>0</v>
      </c>
      <c r="D8" s="176" t="str">
        <f>IF('W10'!D97='W10'!E97,"",ROUND(D7*'W10'!D97,0))</f>
        <v/>
      </c>
      <c r="E8" s="177">
        <f ca="1">IF(E5="","",IF('W10'!D97='W10'!E97,'R10'!O210-'F10'!E10,'R10'!O210-'F10'!D8-'F10'!E10))</f>
        <v>0</v>
      </c>
      <c r="F8" s="176" t="str">
        <f>IF('W10'!F97='W10'!G97,"",ROUND(F7*'W10'!F97,0))</f>
        <v/>
      </c>
      <c r="G8" s="177">
        <f ca="1">IF(G5="","",IF('W10'!F97='W10'!G97,'R10'!P210-'F10'!G10,'R10'!P210-'F10'!F8-'F10'!G10))</f>
        <v>0</v>
      </c>
      <c r="H8" s="176" t="str">
        <f>IF('W10'!H97='W10'!I97,"",ROUND(H7*'W10'!H97,0))</f>
        <v/>
      </c>
      <c r="I8" s="177">
        <f ca="1">IF(I5="","",IF('W10'!H97='W10'!I97,'R10'!Q210-'F10'!I10,'R10'!Q210-'F10'!H8-'F10'!I10))</f>
        <v>0</v>
      </c>
      <c r="J8" s="176" t="str">
        <f>IF('W10'!J97='W10'!K97,"",ROUND(J7*'W10'!J97,0))</f>
        <v/>
      </c>
      <c r="K8" s="177">
        <f ca="1">IF(K5="","",IF('W10'!J97='W10'!K97,'R10'!R210-'F10'!K10,'R10'!R210-'F10'!J8-'F10'!K10))</f>
        <v>0</v>
      </c>
    </row>
    <row r="9" spans="1:11" ht="15" x14ac:dyDescent="0.25">
      <c r="A9" s="178" t="s">
        <v>209</v>
      </c>
      <c r="B9" s="180"/>
      <c r="C9" s="179">
        <f>IF(AND('R10'!F208='W10'!A91,'R10'!H210="TC"),ROUND(SUM('R10'!N172:N176)/(1-'R10'!L210),0),SUM('R10'!N172:N176))</f>
        <v>0</v>
      </c>
      <c r="D9" s="180"/>
      <c r="E9" s="179">
        <f>IF(E5="","",IF(AND('R10'!F208='W10'!A91,'R10'!H210="TC"),ROUND(SUM('R10'!O172:O176)/(1-'R10'!L210),0),SUM('R10'!O172:O176)))</f>
        <v>0</v>
      </c>
      <c r="F9" s="180"/>
      <c r="G9" s="179">
        <f>IF(G5="","",IF(AND('R10'!F208='W10'!A91,'R10'!H210="TC"),ROUND(SUM('R10'!P172:P176)/(1-'R10'!L210),0),SUM('R10'!P172:P176)))</f>
        <v>0</v>
      </c>
      <c r="H9" s="180"/>
      <c r="I9" s="179">
        <f>IF(I5="","",IF(AND('R10'!F208='W10'!A91,'R10'!H210="TC"),ROUND(SUM('R10'!Q172:Q176)/(1-'R10'!L210),0),SUM('R10'!Q172:Q176)))</f>
        <v>0</v>
      </c>
      <c r="J9" s="180"/>
      <c r="K9" s="179">
        <f>IF(K5="","",IF(AND('R10'!F208='W10'!A91,'R10'!H210="TC"),ROUND(SUM('R10'!R172:R176)/(1-'R10'!L210),0),SUM('R10'!R172:R176)))</f>
        <v>0</v>
      </c>
    </row>
    <row r="10" spans="1:11" x14ac:dyDescent="0.2">
      <c r="A10" s="175" t="str">
        <f>"Primate Indirect: "&amp;IF('R10'!$F$208='W10'!A91,'F10'!C6*100&amp;"%",IF('R10'!I171="Federal","54.4%","89%"))</f>
        <v>Primate Indirect: 54.4%</v>
      </c>
      <c r="B10" s="181"/>
      <c r="C10" s="182">
        <f>IF('R10'!$F$208='W10'!$A$91,ROUND(C9*'W10'!$B$91,0),IF('R10'!$I$171="Federal",ROUND(C9*0.544,0),ROUND(C9*0.89,0)))</f>
        <v>0</v>
      </c>
      <c r="D10" s="181"/>
      <c r="E10" s="182">
        <f>IF(E5="","",IF('R10'!$F$208='W10'!$A$91,ROUND(E9*'W10'!$B$91,0),IF('R10'!$I$171="Federal",ROUND(E9*0.544,0),ROUND(E9*0.89,0))))</f>
        <v>0</v>
      </c>
      <c r="F10" s="181"/>
      <c r="G10" s="182">
        <f>IF(G5="","",IF('R10'!$F$208='W10'!$A$91,ROUND(G9*'W10'!$B$91,0),IF('R10'!$I$171="Federal",ROUND(G9*0.544,0),ROUND(G9*0.89,0))))</f>
        <v>0</v>
      </c>
      <c r="H10" s="181"/>
      <c r="I10" s="182">
        <f>IF(I5="","",IF('R10'!$F$208='W10'!$A$91,ROUND(I9*'W10'!$B$91,0),IF('R10'!$I$171="Federal",ROUND(I9*0.544,0),ROUND(I9*0.89,0))))</f>
        <v>0</v>
      </c>
      <c r="J10" s="181"/>
      <c r="K10" s="182">
        <f>IF(K5="","",IF('R10'!$F$208='W10'!$A$91,ROUND(K9*'W10'!$B$91,0),IF('R10'!$I$171="Federal",ROUND(K9*0.544,0),ROUND(K9*0.89,0))))</f>
        <v>0</v>
      </c>
    </row>
    <row r="11" spans="1:11" ht="15" customHeight="1" x14ac:dyDescent="0.2">
      <c r="A11" s="260" t="s">
        <v>212</v>
      </c>
      <c r="B11" s="183"/>
      <c r="C11" s="184">
        <f ca="1">IF('W10'!B97='W10'!C97,C8+C10,B8+C8+C10)</f>
        <v>0</v>
      </c>
      <c r="D11" s="185"/>
      <c r="E11" s="184">
        <f ca="1">IF(E5="","",IF('W10'!D97='W10'!E97,E8+E10,D8+E8+E10))</f>
        <v>0</v>
      </c>
      <c r="F11" s="185"/>
      <c r="G11" s="184">
        <f ca="1">IF(G5="","",IF('W10'!F97='W10'!G97,G8+G10,F8+G8+G10))</f>
        <v>0</v>
      </c>
      <c r="H11" s="185"/>
      <c r="I11" s="184">
        <f ca="1">IF(I5="","",IF('W10'!H97='W10'!I97,I8+I10,H8+I8+I10))</f>
        <v>0</v>
      </c>
      <c r="J11" s="185"/>
      <c r="K11" s="184">
        <f ca="1">IF(K5="","",IF('W10'!J97='W10'!K97,K8+K10,J8+K8+K10))</f>
        <v>0</v>
      </c>
    </row>
    <row r="12" spans="1:11" x14ac:dyDescent="0.2">
      <c r="A12" s="442" t="s">
        <v>211</v>
      </c>
      <c r="B12" s="443"/>
      <c r="C12" s="443"/>
      <c r="D12" s="443"/>
      <c r="E12" s="443"/>
      <c r="F12" s="443"/>
      <c r="G12" s="443"/>
      <c r="H12" s="443"/>
      <c r="I12" s="444"/>
      <c r="J12" s="445">
        <f ca="1">IF(C5&lt;&gt;"",C11,0)+IF(E5&lt;&gt;"",E11,0)+IF(G5&lt;&gt;"",G11,0)+IF(I5&lt;&gt;"",I11,0)+IF(K5&lt;&gt;"",K11,0)</f>
        <v>0</v>
      </c>
      <c r="K12" s="446"/>
    </row>
    <row r="13" spans="1:11" x14ac:dyDescent="0.2">
      <c r="C13" s="217"/>
    </row>
    <row r="14" spans="1:11" x14ac:dyDescent="0.2">
      <c r="C14" s="217"/>
    </row>
    <row r="15" spans="1:11" x14ac:dyDescent="0.2">
      <c r="C15" s="217"/>
    </row>
  </sheetData>
  <mergeCells count="8">
    <mergeCell ref="A12:I12"/>
    <mergeCell ref="J12:K12"/>
    <mergeCell ref="A2:A3"/>
    <mergeCell ref="B2:C3"/>
    <mergeCell ref="D2:E3"/>
    <mergeCell ref="F2:G3"/>
    <mergeCell ref="H2:I3"/>
    <mergeCell ref="J2:K3"/>
  </mergeCells>
  <conditionalFormatting sqref="C5:C7">
    <cfRule type="expression" dxfId="5" priority="6">
      <formula>$B$6=""</formula>
    </cfRule>
  </conditionalFormatting>
  <conditionalFormatting sqref="D5:D8">
    <cfRule type="expression" dxfId="4" priority="5">
      <formula>$D$6=""</formula>
    </cfRule>
  </conditionalFormatting>
  <conditionalFormatting sqref="F5:F8">
    <cfRule type="expression" dxfId="3" priority="4">
      <formula>$F$6=""</formula>
    </cfRule>
  </conditionalFormatting>
  <conditionalFormatting sqref="H5:H8">
    <cfRule type="expression" dxfId="2" priority="3">
      <formula>$H$6=""</formula>
    </cfRule>
  </conditionalFormatting>
  <conditionalFormatting sqref="J5:J8">
    <cfRule type="expression" dxfId="1" priority="2">
      <formula>$J$6=""</formula>
    </cfRule>
  </conditionalFormatting>
  <conditionalFormatting sqref="B5:B8">
    <cfRule type="expression" dxfId="0" priority="1">
      <formula>$D$6=""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Y41"/>
  <sheetViews>
    <sheetView zoomScaleNormal="100" workbookViewId="0">
      <selection activeCell="Q38" sqref="Q38"/>
    </sheetView>
  </sheetViews>
  <sheetFormatPr defaultColWidth="8.85546875" defaultRowHeight="15" x14ac:dyDescent="0.25"/>
  <cols>
    <col min="1" max="1" width="3" style="127" bestFit="1" customWidth="1"/>
    <col min="2" max="2" width="18.28515625" style="127" customWidth="1"/>
    <col min="3" max="4" width="8.85546875" style="127"/>
    <col min="5" max="5" width="15.42578125" style="127" customWidth="1"/>
    <col min="6" max="6" width="1.140625" style="127" customWidth="1"/>
    <col min="7" max="7" width="8.85546875" style="127" customWidth="1"/>
    <col min="8" max="12" width="8.85546875" style="127"/>
    <col min="13" max="13" width="1.140625" style="127" customWidth="1"/>
    <col min="14" max="18" width="8.85546875" style="127"/>
    <col min="19" max="19" width="8.85546875" style="130"/>
    <col min="20" max="20" width="1.28515625" style="127" customWidth="1"/>
    <col min="21" max="21" width="17.140625" style="127" customWidth="1"/>
    <col min="22" max="22" width="18.28515625" style="127" customWidth="1"/>
    <col min="23" max="23" width="19.28515625" style="127" customWidth="1"/>
    <col min="24" max="24" width="17.28515625" style="127" customWidth="1"/>
    <col min="25" max="25" width="16.7109375" style="127" customWidth="1"/>
    <col min="26" max="16384" width="8.85546875" style="127"/>
  </cols>
  <sheetData>
    <row r="1" spans="1:25" ht="27" customHeight="1" x14ac:dyDescent="0.25">
      <c r="A1" s="360" t="str">
        <f>'F9'!A1</f>
        <v xml:space="preserve">Component: </v>
      </c>
      <c r="B1" s="361"/>
      <c r="C1" s="361"/>
      <c r="D1" s="361"/>
      <c r="E1" s="362"/>
      <c r="G1" s="456" t="s">
        <v>214</v>
      </c>
      <c r="H1" s="457"/>
      <c r="I1" s="457"/>
      <c r="J1" s="457"/>
      <c r="K1" s="457"/>
      <c r="L1" s="458"/>
      <c r="M1" s="255"/>
      <c r="N1" s="459" t="s">
        <v>174</v>
      </c>
      <c r="O1" s="460"/>
      <c r="P1" s="460"/>
      <c r="Q1" s="460"/>
      <c r="R1" s="460"/>
      <c r="S1" s="461"/>
      <c r="T1" s="255"/>
      <c r="U1" s="462" t="s">
        <v>175</v>
      </c>
      <c r="V1" s="463"/>
      <c r="W1" s="463"/>
      <c r="X1" s="463"/>
      <c r="Y1" s="464"/>
    </row>
    <row r="2" spans="1:25" ht="50.45" customHeight="1" x14ac:dyDescent="0.25">
      <c r="A2" s="465" t="str">
        <f>'R9'!B6</f>
        <v>Name/Role:</v>
      </c>
      <c r="B2" s="466"/>
      <c r="C2" s="467" t="s">
        <v>198</v>
      </c>
      <c r="D2" s="467"/>
      <c r="E2" s="468"/>
      <c r="F2" s="255"/>
      <c r="G2" s="134" t="s">
        <v>134</v>
      </c>
      <c r="H2" s="134" t="s">
        <v>135</v>
      </c>
      <c r="I2" s="134" t="s">
        <v>136</v>
      </c>
      <c r="J2" s="134" t="s">
        <v>139</v>
      </c>
      <c r="K2" s="135" t="s">
        <v>137</v>
      </c>
      <c r="L2" s="222" t="s">
        <v>219</v>
      </c>
      <c r="M2" s="255"/>
      <c r="N2" s="132" t="s">
        <v>134</v>
      </c>
      <c r="O2" s="132" t="s">
        <v>135</v>
      </c>
      <c r="P2" s="132" t="s">
        <v>136</v>
      </c>
      <c r="Q2" s="132" t="s">
        <v>139</v>
      </c>
      <c r="R2" s="132" t="s">
        <v>137</v>
      </c>
      <c r="S2" s="132" t="s">
        <v>14</v>
      </c>
      <c r="T2" s="255"/>
      <c r="U2" s="133" t="s">
        <v>134</v>
      </c>
      <c r="V2" s="133" t="s">
        <v>135</v>
      </c>
      <c r="W2" s="133" t="s">
        <v>136</v>
      </c>
      <c r="X2" s="133" t="s">
        <v>139</v>
      </c>
      <c r="Y2" s="133" t="s">
        <v>137</v>
      </c>
    </row>
    <row r="3" spans="1:25" x14ac:dyDescent="0.25">
      <c r="A3" s="129">
        <f>'R9'!A8</f>
        <v>1</v>
      </c>
      <c r="B3" s="124">
        <f>'R9'!B8</f>
        <v>0</v>
      </c>
      <c r="C3" s="124"/>
      <c r="D3" s="125"/>
      <c r="E3" s="244" t="s">
        <v>217</v>
      </c>
      <c r="F3" s="255"/>
      <c r="G3" s="100">
        <f ca="1">IF(AND($L3="Yes",'R9'!$L8=9),'W9'!B354,IF(AND($L3="Yes",'R9'!$L8=11),'W9'!B380,IF(OR($L3="No",'R9'!$L8=12),'W9'!B328)))</f>
        <v>0</v>
      </c>
      <c r="H3" s="100">
        <f ca="1">IF(AND($L3="Yes",'R9'!$L8=9),'W9'!D354,IF(AND($L3="Yes",'R9'!$L8=11),'W9'!D380,IF(OR($L3="No",'R9'!L8=12),'W9'!D328)))</f>
        <v>0</v>
      </c>
      <c r="I3" s="100">
        <f ca="1">IF(AND($L3="Yes",'R9'!$L8=9),'W9'!F354,IF(AND($L3="Yes",'R9'!$L8=11),'W9'!F380,IF(OR($L3="No",'R9'!L8=12),'W9'!F328)))</f>
        <v>0</v>
      </c>
      <c r="J3" s="100">
        <f ca="1">IF(AND($L3="Yes",'R9'!$L8=9),'W9'!H354,IF(AND($L3="Yes",'R9'!$L8=11),'W9'!H380,IF(OR($L3="No",'R9'!L8=12),'W9'!H328)))</f>
        <v>0</v>
      </c>
      <c r="K3" s="100">
        <f ca="1">IF(AND($L3="Yes",'R9'!$L8=9),'W9'!J354,IF(AND($L3="Yes",'R9'!$L8=11),'W9'!J380,IF(OR($L3="No",'R9'!L8=12),'W9'!J328)))</f>
        <v>0</v>
      </c>
      <c r="L3" s="245" t="s">
        <v>150</v>
      </c>
      <c r="M3" s="255"/>
      <c r="N3" s="128">
        <f ca="1">IF(G3=0,0,IF(G3="",0,'R9'!N8/(G3/'R9'!$L8)))</f>
        <v>0</v>
      </c>
      <c r="O3" s="128">
        <f ca="1">IF(H3=0,0,IF(H3="",0,'R9'!O8/(H3/'R9'!$L8)))</f>
        <v>0</v>
      </c>
      <c r="P3" s="128">
        <f ca="1">IF(I3=0,0,IF(I3="",0,'R9'!P8/(I3/'R9'!$L8)))</f>
        <v>0</v>
      </c>
      <c r="Q3" s="128">
        <f ca="1">IF(J3=0,0,IF(J3="",0,'R9'!Q8/(J3/'R9'!$L8)))</f>
        <v>0</v>
      </c>
      <c r="R3" s="128">
        <f ca="1">IF(K3=0,0,IF(K3="",0,'R9'!R8/(K3/'R9'!$L8)))</f>
        <v>0</v>
      </c>
      <c r="S3" s="51" t="str">
        <f>IF('R9'!K8="","CAL",'R9'!K8)</f>
        <v>CAL</v>
      </c>
      <c r="T3" s="255"/>
      <c r="U3" s="51" t="str">
        <f ca="1">IF(G3="","",IF('W9'!$L218="D","n/a",IF('W9'!B$247='W9'!C$247,"("&amp;ROUND('W9'!B248+'W9'!C248,2)&amp;")"&amp;ROUND('W9'!B$247*100,2),"("&amp;ROUND('W9'!B248,2)&amp;")"&amp;ROUND('W9'!B$247*100,2)&amp;"/ ("&amp;ROUND('W9'!C248,2)&amp;")"&amp;ROUND('W9'!C$247*100,2))))</f>
        <v>n/a</v>
      </c>
      <c r="V3" s="51" t="str">
        <f ca="1">IF(H3="","",IF('W9'!$L218="D","n/a",IF('W9'!D$247='W9'!E$247,"("&amp;ROUND('W9'!D248+'W9'!E248,2)&amp;")"&amp;ROUND('W9'!D$247*100,2),"("&amp;ROUND('W9'!D248,2)&amp;")"&amp;ROUND('W9'!D$247*100,2)&amp;"/ ("&amp;ROUND('W9'!E248,2)&amp;")"&amp;ROUND('W9'!E$247*100,2))))</f>
        <v>n/a</v>
      </c>
      <c r="W3" s="51" t="str">
        <f ca="1">IF(I3="","",IF('W9'!$L218="D","n/a",IF('W9'!F$247='W9'!G$247,"("&amp;ROUND('W9'!F248+'W9'!G248,2)&amp;")"&amp;ROUND('W9'!F$247*100,2),"("&amp;ROUND('W9'!F248,2)&amp;")"&amp;ROUND('W9'!F$247*100,2)&amp;"/ ("&amp;ROUND('W9'!G248,2)&amp;")"&amp;ROUND('W9'!G$247*100,2))))</f>
        <v>n/a</v>
      </c>
      <c r="X3" s="51" t="str">
        <f ca="1">IF(J3="","",IF('W9'!$L218="D","n/a",IF('W9'!H$247='W9'!I$247,"("&amp;ROUND('W9'!H248+'W9'!I248,2)&amp;")"&amp;ROUND('W9'!H$247*100,2),"("&amp;ROUND('W9'!H248,2)&amp;")"&amp;ROUND('W9'!H$247*100,2)&amp;"/ ("&amp;ROUND('W9'!I248,2)&amp;")"&amp;ROUND('W9'!I$247*100,2))))</f>
        <v>n/a</v>
      </c>
      <c r="Y3" s="51" t="str">
        <f ca="1">IF(K3="","",IF('W9'!$L218="D","n/a",IF('W9'!J$247='W9'!K$247,"("&amp;ROUND('W9'!J248+'W9'!K248,2)&amp;")"&amp;ROUND('W9'!J$247*100,2),"("&amp;ROUND('W9'!J248,2)&amp;")"&amp;ROUND('W9'!J$247*100,2)&amp;"/ ("&amp;ROUND('W9'!K248,2)&amp;")"&amp;ROUND('W9'!K$247*100,2))))</f>
        <v>n/a</v>
      </c>
    </row>
    <row r="4" spans="1:25" x14ac:dyDescent="0.25">
      <c r="A4" s="129">
        <f>'R9'!A9</f>
        <v>2</v>
      </c>
      <c r="B4" s="124">
        <f>'R9'!B9</f>
        <v>0</v>
      </c>
      <c r="C4" s="124"/>
      <c r="D4" s="263"/>
      <c r="E4" s="244" t="s">
        <v>217</v>
      </c>
      <c r="F4" s="255"/>
      <c r="G4" s="100">
        <f ca="1">IF(AND($L4="Yes",'R9'!$L9=9),'W9'!B355,IF(AND($L4="Yes",'R9'!$L9=11),'W9'!B381,IF(OR($L4="No",'R9'!L9=12),'W9'!B329)))</f>
        <v>0</v>
      </c>
      <c r="H4" s="100">
        <f ca="1">IF(AND($L4="Yes",'R9'!$L9=9),'W9'!D355,IF(AND($L4="Yes",'R9'!$L9=11),'W9'!D381,IF(OR($L4="No",'R9'!L9=12),'W9'!D329)))</f>
        <v>0</v>
      </c>
      <c r="I4" s="100">
        <f ca="1">IF(AND($L4="Yes",'R9'!$L9=9),'W9'!F355,IF(AND($L4="Yes",'R9'!$L9=11),'W9'!F381,IF(OR($L4="No",'R9'!L9=12),'W9'!F329)))</f>
        <v>0</v>
      </c>
      <c r="J4" s="100">
        <f ca="1">IF(AND($L4="Yes",'R9'!$L9=9),'W9'!H355,IF(AND($L4="Yes",'R9'!$L9=11),'W9'!H381,IF(OR($L4="No",'R9'!L9=12),'W9'!H329)))</f>
        <v>0</v>
      </c>
      <c r="K4" s="100">
        <f ca="1">IF(AND($L4="Yes",'R9'!$L9=9),'W9'!J355,IF(AND($L4="Yes",'R9'!$L9=11),'W9'!J381,IF(OR($L4="No",'R9'!L9=12),'W9'!J329)))</f>
        <v>0</v>
      </c>
      <c r="L4" s="245" t="s">
        <v>150</v>
      </c>
      <c r="M4" s="255"/>
      <c r="N4" s="128">
        <f ca="1">IF(G4=0,0,IF(G4="",0,'R9'!N9/(G4/'R9'!$L9)))</f>
        <v>0</v>
      </c>
      <c r="O4" s="128">
        <f ca="1">IF(H4=0,0,IF(H4="",0,'R9'!O9/(H4/'R9'!$L9)))</f>
        <v>0</v>
      </c>
      <c r="P4" s="128">
        <f ca="1">IF(I4=0,0,IF(I4="",0,'R9'!P9/(I4/'R9'!$L9)))</f>
        <v>0</v>
      </c>
      <c r="Q4" s="128">
        <f ca="1">IF(J4=0,0,IF(J4="",0,'R9'!Q9/(J4/'R9'!$L9)))</f>
        <v>0</v>
      </c>
      <c r="R4" s="128">
        <f ca="1">IF(K4=0,0,IF(K4="",0,'R9'!R9/(K4/'R9'!$L9)))</f>
        <v>0</v>
      </c>
      <c r="S4" s="51" t="str">
        <f>IF('R9'!K9="","CAL",'R9'!K9)</f>
        <v>CAL</v>
      </c>
      <c r="T4" s="255"/>
      <c r="U4" s="51" t="str">
        <f ca="1">IF(G4="","",IF('W9'!$L219="D","n/a",IF('W9'!B$247='W9'!C$247,"("&amp;ROUND('W9'!B249+'W9'!C249,2)&amp;")"&amp;ROUND('W9'!B$247*100,2),"("&amp;ROUND('W9'!B249,2)&amp;")"&amp;ROUND('W9'!B$247*100,2)&amp;"/ ("&amp;ROUND('W9'!C249,2)&amp;")"&amp;ROUND('W9'!C$247*100,2))))</f>
        <v>n/a</v>
      </c>
      <c r="V4" s="51" t="str">
        <f ca="1">IF(H4="","",IF('W9'!$L219="D","n/a",IF('W9'!D$247='W9'!E$247,"("&amp;ROUND('W9'!D249+'W9'!E249,2)&amp;")"&amp;ROUND('W9'!D$247*100,2),"("&amp;ROUND('W9'!D249,2)&amp;")"&amp;ROUND('W9'!D$247*100,2)&amp;"/ ("&amp;ROUND('W9'!E249,2)&amp;")"&amp;ROUND('W9'!E$247*100,2))))</f>
        <v>n/a</v>
      </c>
      <c r="W4" s="51" t="str">
        <f ca="1">IF(I4="","",IF('W9'!$L219="D","n/a",IF('W9'!F$247='W9'!G$247,"("&amp;ROUND('W9'!F249+'W9'!G249,2)&amp;")"&amp;ROUND('W9'!F$247*100,2),"("&amp;ROUND('W9'!F249,2)&amp;")"&amp;ROUND('W9'!F$247*100,2)&amp;"/ ("&amp;ROUND('W9'!G249,2)&amp;")"&amp;ROUND('W9'!G$247*100,2))))</f>
        <v>n/a</v>
      </c>
      <c r="X4" s="51" t="str">
        <f ca="1">IF(J4="","",IF('W9'!$L219="D","n/a",IF('W9'!H$247='W9'!I$247,"("&amp;ROUND('W9'!H249+'W9'!I249,2)&amp;")"&amp;ROUND('W9'!H$247*100,2),"("&amp;ROUND('W9'!H249,2)&amp;")"&amp;ROUND('W9'!H$247*100,2)&amp;"/ ("&amp;ROUND('W9'!I249,2)&amp;")"&amp;ROUND('W9'!I$247*100,2))))</f>
        <v>n/a</v>
      </c>
      <c r="Y4" s="51" t="str">
        <f ca="1">IF(K4="","",IF('W9'!$L219="D","n/a",IF('W9'!J$247='W9'!K$247,"("&amp;ROUND('W9'!J249+'W9'!K249,2)&amp;")"&amp;ROUND('W9'!J$247*100,2),"("&amp;ROUND('W9'!J249,2)&amp;")"&amp;ROUND('W9'!J$247*100,2)&amp;"/ ("&amp;ROUND('W9'!K249,2)&amp;")"&amp;ROUND('W9'!K$247*100,2))))</f>
        <v>n/a</v>
      </c>
    </row>
    <row r="5" spans="1:25" x14ac:dyDescent="0.25">
      <c r="A5" s="129">
        <f>'R9'!A10</f>
        <v>3</v>
      </c>
      <c r="B5" s="124">
        <f>'R9'!B10</f>
        <v>0</v>
      </c>
      <c r="C5" s="124"/>
      <c r="D5" s="125"/>
      <c r="E5" s="244" t="s">
        <v>217</v>
      </c>
      <c r="F5" s="255"/>
      <c r="G5" s="100">
        <f ca="1">IF(AND($L5="Yes",'R9'!$L10=9),'W9'!B356,IF(AND($L5="Yes",'R9'!$L10=11),'W9'!B382,IF(OR($L5="No",'R9'!L10=12),'W9'!B330)))</f>
        <v>0</v>
      </c>
      <c r="H5" s="100">
        <f ca="1">IF(AND($L5="Yes",'R9'!$L10=9),'W9'!D356,IF(AND($L5="Yes",'R9'!$L10=11),'W9'!D382,IF(OR($L5="No",'R9'!L10=12),'W9'!D330)))</f>
        <v>0</v>
      </c>
      <c r="I5" s="100">
        <f ca="1">IF(AND($L5="Yes",'R9'!$L10=9),'W9'!F356,IF(AND($L5="Yes",'R9'!$L10=11),'W9'!F382,IF(OR($L5="No",'R9'!L10=12),'W9'!F330)))</f>
        <v>0</v>
      </c>
      <c r="J5" s="100">
        <f ca="1">IF(AND($L5="Yes",'R9'!$L10=9),'W9'!H356,IF(AND($L5="Yes",'R9'!$L10=11),'W9'!H382,IF(OR($L5="No",'R9'!L10=12),'W9'!H330)))</f>
        <v>0</v>
      </c>
      <c r="K5" s="100">
        <f ca="1">IF(AND($L5="Yes",'R9'!$L10=9),'W9'!J356,IF(AND($L5="Yes",'R9'!$L10=11),'W9'!J382,IF(OR($L5="No",'R9'!L10=12),'W9'!J330)))</f>
        <v>0</v>
      </c>
      <c r="L5" s="245" t="s">
        <v>150</v>
      </c>
      <c r="M5" s="255"/>
      <c r="N5" s="128">
        <f ca="1">IF(G5=0,0,IF(G5="",0,'R9'!N10/(G5/'R9'!$L10)))</f>
        <v>0</v>
      </c>
      <c r="O5" s="128">
        <f ca="1">IF(H5=0,0,IF(H5="",0,'R9'!O10/(H5/'R9'!$L10)))</f>
        <v>0</v>
      </c>
      <c r="P5" s="128">
        <f ca="1">IF(I5=0,0,IF(I5="",0,'R9'!P10/(I5/'R9'!$L10)))</f>
        <v>0</v>
      </c>
      <c r="Q5" s="128">
        <f ca="1">IF(J5=0,0,IF(J5="",0,'R9'!Q10/(J5/'R9'!$L10)))</f>
        <v>0</v>
      </c>
      <c r="R5" s="128">
        <f ca="1">IF(K5=0,0,IF(K5="",0,'R9'!R10/(K5/'R9'!$L10)))</f>
        <v>0</v>
      </c>
      <c r="S5" s="51" t="str">
        <f>IF('R9'!K10="","CAL",'R9'!K10)</f>
        <v>CAL</v>
      </c>
      <c r="T5" s="255"/>
      <c r="U5" s="51" t="str">
        <f ca="1">IF(G5="","",IF('W9'!$L220="D","n/a",IF('W9'!B$247='W9'!C$247,"("&amp;ROUND('W9'!B250+'W9'!C250,2)&amp;")"&amp;ROUND('W9'!B$247*100,2),"("&amp;ROUND('W9'!B250,2)&amp;")"&amp;ROUND('W9'!B$247*100,2)&amp;"/ ("&amp;ROUND('W9'!C250,2)&amp;")"&amp;ROUND('W9'!C$247*100,2))))</f>
        <v>n/a</v>
      </c>
      <c r="V5" s="51" t="str">
        <f ca="1">IF(H5="","",IF('W9'!$L220="D","n/a",IF('W9'!D$247='W9'!E$247,"("&amp;ROUND('W9'!D250+'W9'!E250,2)&amp;")"&amp;ROUND('W9'!D$247*100,2),"("&amp;ROUND('W9'!D250,2)&amp;")"&amp;ROUND('W9'!D$247*100,2)&amp;"/ ("&amp;ROUND('W9'!E250,2)&amp;")"&amp;ROUND('W9'!E$247*100,2))))</f>
        <v>n/a</v>
      </c>
      <c r="W5" s="51" t="str">
        <f ca="1">IF(I5="","",IF('W9'!$L220="D","n/a",IF('W9'!F$247='W9'!G$247,"("&amp;ROUND('W9'!F250+'W9'!G250,2)&amp;")"&amp;ROUND('W9'!F$247*100,2),"("&amp;ROUND('W9'!F250,2)&amp;")"&amp;ROUND('W9'!F$247*100,2)&amp;"/ ("&amp;ROUND('W9'!G250,2)&amp;")"&amp;ROUND('W9'!G$247*100,2))))</f>
        <v>n/a</v>
      </c>
      <c r="X5" s="51" t="str">
        <f ca="1">IF(J5="","",IF('W9'!$L220="D","n/a",IF('W9'!H$247='W9'!I$247,"("&amp;ROUND('W9'!H250+'W9'!I250,2)&amp;")"&amp;ROUND('W9'!H$247*100,2),"("&amp;ROUND('W9'!H250,2)&amp;")"&amp;ROUND('W9'!H$247*100,2)&amp;"/ ("&amp;ROUND('W9'!I250,2)&amp;")"&amp;ROUND('W9'!I$247*100,2))))</f>
        <v>n/a</v>
      </c>
      <c r="Y5" s="51" t="str">
        <f ca="1">IF(K5="","",IF('W9'!$L220="D","n/a",IF('W9'!J$247='W9'!K$247,"("&amp;ROUND('W9'!J250+'W9'!K250,2)&amp;")"&amp;ROUND('W9'!J$247*100,2),"("&amp;ROUND('W9'!J250,2)&amp;")"&amp;ROUND('W9'!J$247*100,2)&amp;"/ ("&amp;ROUND('W9'!K250,2)&amp;")"&amp;ROUND('W9'!K$247*100,2))))</f>
        <v>n/a</v>
      </c>
    </row>
    <row r="6" spans="1:25" x14ac:dyDescent="0.25">
      <c r="A6" s="129">
        <f>'R9'!A11</f>
        <v>4</v>
      </c>
      <c r="B6" s="124">
        <f>'R9'!B11</f>
        <v>0</v>
      </c>
      <c r="C6" s="124"/>
      <c r="D6" s="125"/>
      <c r="E6" s="244" t="s">
        <v>217</v>
      </c>
      <c r="F6" s="255"/>
      <c r="G6" s="100">
        <f ca="1">IF(AND($L6="Yes",'R9'!$L11=9),'W9'!B357,IF(AND($L6="Yes",'R9'!$L11=11),'W9'!B383,IF(OR($L6="No",'R9'!L11=12),'W9'!B331)))</f>
        <v>0</v>
      </c>
      <c r="H6" s="100">
        <f ca="1">IF(AND($L6="Yes",'R9'!$L11=9),'W9'!D357,IF(AND($L6="Yes",'R9'!$L11=11),'W9'!D383,IF(OR($L6="No",'R9'!L11=12),'W9'!D331)))</f>
        <v>0</v>
      </c>
      <c r="I6" s="100">
        <f ca="1">IF(AND($L6="Yes",'R9'!$L11=9),'W9'!F357,IF(AND($L6="Yes",'R9'!$L11=11),'W9'!F383,IF(OR($L6="No",'R9'!L11=12),'W9'!F331)))</f>
        <v>0</v>
      </c>
      <c r="J6" s="100">
        <f ca="1">IF(AND($L6="Yes",'R9'!$L11=9),'W9'!H357,IF(AND($L6="Yes",'R9'!$L11=11),'W9'!H383,IF(OR($L6="No",'R9'!L11=12),'W9'!H331)))</f>
        <v>0</v>
      </c>
      <c r="K6" s="100">
        <f ca="1">IF(AND($L6="Yes",'R9'!$L11=9),'W9'!J357,IF(AND($L6="Yes",'R9'!$L11=11),'W9'!J383,IF(OR($L6="No",'R9'!L11=12),'W9'!J331)))</f>
        <v>0</v>
      </c>
      <c r="L6" s="245" t="s">
        <v>150</v>
      </c>
      <c r="M6" s="255"/>
      <c r="N6" s="128">
        <f ca="1">IF(G6=0,0,IF(G6="",0,'R9'!N11/(G6/'R9'!$L11)))</f>
        <v>0</v>
      </c>
      <c r="O6" s="128">
        <f ca="1">IF(H6=0,0,IF(H6="",0,'R9'!O11/(H6/'R9'!$L11)))</f>
        <v>0</v>
      </c>
      <c r="P6" s="128">
        <f ca="1">IF(I6=0,0,IF(I6="",0,'R9'!P11/(I6/'R9'!$L11)))</f>
        <v>0</v>
      </c>
      <c r="Q6" s="128">
        <f ca="1">IF(J6=0,0,IF(J6="",0,'R9'!Q11/(J6/'R9'!$L11)))</f>
        <v>0</v>
      </c>
      <c r="R6" s="128">
        <f ca="1">IF(K6=0,0,IF(K6="",0,'R9'!R11/(K6/'R9'!$L11)))</f>
        <v>0</v>
      </c>
      <c r="S6" s="51" t="str">
        <f>IF('R9'!K11="","CAL",'R9'!K11)</f>
        <v>CAL</v>
      </c>
      <c r="T6" s="255"/>
      <c r="U6" s="51" t="str">
        <f ca="1">IF(G6="","",IF('W9'!$L221="D","n/a",IF('W9'!B$247='W9'!C$247,"("&amp;ROUND('W9'!B251+'W9'!C251,2)&amp;")"&amp;ROUND('W9'!B$247*100,2),"("&amp;ROUND('W9'!B251,2)&amp;")"&amp;ROUND('W9'!B$247*100,2)&amp;"/ ("&amp;ROUND('W9'!C251,2)&amp;")"&amp;ROUND('W9'!C$247*100,2))))</f>
        <v>n/a</v>
      </c>
      <c r="V6" s="51" t="str">
        <f ca="1">IF(H6="","",IF('W9'!$L221="D","n/a",IF('W9'!D$247='W9'!E$247,"("&amp;ROUND('W9'!D251+'W9'!E251,2)&amp;")"&amp;ROUND('W9'!D$247*100,2),"("&amp;ROUND('W9'!D251,2)&amp;")"&amp;ROUND('W9'!D$247*100,2)&amp;"/ ("&amp;ROUND('W9'!E251,2)&amp;")"&amp;ROUND('W9'!E$247*100,2))))</f>
        <v>n/a</v>
      </c>
      <c r="W6" s="51" t="str">
        <f ca="1">IF(I6="","",IF('W9'!$L221="D","n/a",IF('W9'!F$247='W9'!G$247,"("&amp;ROUND('W9'!F251+'W9'!G251,2)&amp;")"&amp;ROUND('W9'!F$247*100,2),"("&amp;ROUND('W9'!F251,2)&amp;")"&amp;ROUND('W9'!F$247*100,2)&amp;"/ ("&amp;ROUND('W9'!G251,2)&amp;")"&amp;ROUND('W9'!G$247*100,2))))</f>
        <v>n/a</v>
      </c>
      <c r="X6" s="51" t="str">
        <f ca="1">IF(J6="","",IF('W9'!$L221="D","n/a",IF('W9'!H$247='W9'!I$247,"("&amp;ROUND('W9'!H251+'W9'!I251,2)&amp;")"&amp;ROUND('W9'!H$247*100,2),"("&amp;ROUND('W9'!H251,2)&amp;")"&amp;ROUND('W9'!H$247*100,2)&amp;"/ ("&amp;ROUND('W9'!I251,2)&amp;")"&amp;ROUND('W9'!I$247*100,2))))</f>
        <v>n/a</v>
      </c>
      <c r="Y6" s="51" t="str">
        <f ca="1">IF(K6="","",IF('W9'!$L221="D","n/a",IF('W9'!J$247='W9'!K$247,"("&amp;ROUND('W9'!J251+'W9'!K251,2)&amp;")"&amp;ROUND('W9'!J$247*100,2),"("&amp;ROUND('W9'!J251,2)&amp;")"&amp;ROUND('W9'!J$247*100,2)&amp;"/ ("&amp;ROUND('W9'!K251,2)&amp;")"&amp;ROUND('W9'!K$247*100,2))))</f>
        <v>n/a</v>
      </c>
    </row>
    <row r="7" spans="1:25" x14ac:dyDescent="0.25">
      <c r="A7" s="129">
        <f>'R9'!A12</f>
        <v>5</v>
      </c>
      <c r="B7" s="124">
        <f>'R9'!B12</f>
        <v>0</v>
      </c>
      <c r="C7" s="124"/>
      <c r="D7" s="125"/>
      <c r="E7" s="267" t="s">
        <v>217</v>
      </c>
      <c r="F7" s="255"/>
      <c r="G7" s="100">
        <f ca="1">IF(AND($L7="Yes",'R9'!$L12=9),'W9'!B358,IF(AND($L7="Yes",'R9'!$L12=11),'W9'!B384,IF(OR($L7="No",'R9'!L12=12),'W9'!B332)))</f>
        <v>0</v>
      </c>
      <c r="H7" s="100">
        <f ca="1">IF(AND($L7="Yes",'R9'!$L12=9),'W9'!D358,IF(AND($L7="Yes",'R9'!$L12=11),'W9'!D384,IF(OR($L7="No",'R9'!L12=12),'W9'!D332)))</f>
        <v>0</v>
      </c>
      <c r="I7" s="100">
        <f ca="1">IF(AND($L7="Yes",'R9'!$L12=9),'W9'!F358,IF(AND($L7="Yes",'R9'!$L12=11),'W9'!F384,IF(OR($L7="No",'R9'!L12=12),'W9'!F332)))</f>
        <v>0</v>
      </c>
      <c r="J7" s="100">
        <f ca="1">IF(AND($L7="Yes",'R9'!$L12=9),'W9'!H358,IF(AND($L7="Yes",'R9'!$L12=11),'W9'!H384,IF(OR($L7="No",'R9'!L12=12),'W9'!H332)))</f>
        <v>0</v>
      </c>
      <c r="K7" s="100">
        <f ca="1">IF(AND($L7="Yes",'R9'!$L12=9),'W9'!J358,IF(AND($L7="Yes",'R9'!$L12=11),'W9'!J384,IF(OR($L7="No",'R9'!L12=12),'W9'!J332)))</f>
        <v>0</v>
      </c>
      <c r="L7" s="245" t="s">
        <v>150</v>
      </c>
      <c r="M7" s="255"/>
      <c r="N7" s="128">
        <f ca="1">IF(G7=0,0,IF(G7="",0,'R9'!N12/(G7/'R9'!$L12)))</f>
        <v>0</v>
      </c>
      <c r="O7" s="128">
        <f ca="1">IF(H7=0,0,IF(H7="",0,'R9'!O12/(H7/'R9'!$L12)))</f>
        <v>0</v>
      </c>
      <c r="P7" s="128">
        <f ca="1">IF(I7=0,0,IF(I7="",0,'R9'!P12/(I7/'R9'!$L12)))</f>
        <v>0</v>
      </c>
      <c r="Q7" s="128">
        <f ca="1">IF(J7=0,0,IF(J7="",0,'R9'!Q12/(J7/'R9'!$L12)))</f>
        <v>0</v>
      </c>
      <c r="R7" s="128">
        <f ca="1">IF(K7=0,0,IF(K7="",0,'R9'!R12/(K7/'R9'!$L12)))</f>
        <v>0</v>
      </c>
      <c r="S7" s="51" t="str">
        <f>IF('R9'!K12="","CAL",'R9'!K12)</f>
        <v>CAL</v>
      </c>
      <c r="T7" s="255"/>
      <c r="U7" s="51" t="str">
        <f ca="1">IF(G7="","",IF('W9'!$L222="D","n/a",IF('W9'!B$247='W9'!C$247,"("&amp;ROUND('W9'!B252+'W9'!C252,2)&amp;")"&amp;ROUND('W9'!B$247*100,2),"("&amp;ROUND('W9'!B252,2)&amp;")"&amp;ROUND('W9'!B$247*100,2)&amp;"/ ("&amp;ROUND('W9'!C252,2)&amp;")"&amp;ROUND('W9'!C$247*100,2))))</f>
        <v>n/a</v>
      </c>
      <c r="V7" s="51" t="str">
        <f ca="1">IF(H7="","",IF('W9'!$L222="D","n/a",IF('W9'!D$247='W9'!E$247,"("&amp;ROUND('W9'!D252+'W9'!E252,2)&amp;")"&amp;ROUND('W9'!D$247*100,2),"("&amp;ROUND('W9'!D252,2)&amp;")"&amp;ROUND('W9'!D$247*100,2)&amp;"/ ("&amp;ROUND('W9'!E252,2)&amp;")"&amp;ROUND('W9'!E$247*100,2))))</f>
        <v>n/a</v>
      </c>
      <c r="W7" s="51" t="str">
        <f ca="1">IF(I7="","",IF('W9'!$L222="D","n/a",IF('W9'!F$247='W9'!G$247,"("&amp;ROUND('W9'!F252+'W9'!G252,2)&amp;")"&amp;ROUND('W9'!F$247*100,2),"("&amp;ROUND('W9'!F252,2)&amp;")"&amp;ROUND('W9'!F$247*100,2)&amp;"/ ("&amp;ROUND('W9'!G252,2)&amp;")"&amp;ROUND('W9'!G$247*100,2))))</f>
        <v>n/a</v>
      </c>
      <c r="X7" s="51" t="str">
        <f ca="1">IF(J7="","",IF('W9'!$L222="D","n/a",IF('W9'!H$247='W9'!I$247,"("&amp;ROUND('W9'!H252+'W9'!I252,2)&amp;")"&amp;ROUND('W9'!H$247*100,2),"("&amp;ROUND('W9'!H252,2)&amp;")"&amp;ROUND('W9'!H$247*100,2)&amp;"/ ("&amp;ROUND('W9'!I252,2)&amp;")"&amp;ROUND('W9'!I$247*100,2))))</f>
        <v>n/a</v>
      </c>
      <c r="Y7" s="51" t="str">
        <f ca="1">IF(K7="","",IF('W9'!$L222="D","n/a",IF('W9'!J$247='W9'!K$247,"("&amp;ROUND('W9'!J252+'W9'!K252,2)&amp;")"&amp;ROUND('W9'!J$247*100,2),"("&amp;ROUND('W9'!J252,2)&amp;")"&amp;ROUND('W9'!J$247*100,2)&amp;"/ ("&amp;ROUND('W9'!K252,2)&amp;")"&amp;ROUND('W9'!K$247*100,2))))</f>
        <v>n/a</v>
      </c>
    </row>
    <row r="8" spans="1:25" x14ac:dyDescent="0.25">
      <c r="A8" s="129">
        <f>'R9'!A13</f>
        <v>6</v>
      </c>
      <c r="B8" s="124">
        <f>'R9'!B13</f>
        <v>0</v>
      </c>
      <c r="C8" s="124"/>
      <c r="D8" s="125"/>
      <c r="E8" s="267" t="s">
        <v>217</v>
      </c>
      <c r="F8" s="255"/>
      <c r="G8" s="100">
        <f ca="1">IF(AND($L8="Yes",'R9'!$L13=9),'W9'!B359,IF(AND($L8="Yes",'R9'!$L13=11),'W9'!B385,IF(OR($L8="No",'R9'!L13=12),'W9'!B333)))</f>
        <v>0</v>
      </c>
      <c r="H8" s="100">
        <f ca="1">IF(AND($L8="Yes",'R9'!$L13=9),'W9'!D359,IF(AND($L8="Yes",'R9'!$L13=11),'W9'!D385,IF(OR($L8="No",'R9'!L13=12),'W9'!D333)))</f>
        <v>0</v>
      </c>
      <c r="I8" s="100">
        <f ca="1">IF(AND($L8="Yes",'R9'!$L13=9),'W9'!F359,IF(AND($L8="Yes",'R9'!$L13=11),'W9'!F385,IF(OR($L8="No",'R9'!L13=12),'W9'!F333)))</f>
        <v>0</v>
      </c>
      <c r="J8" s="100">
        <f ca="1">IF(AND($L8="Yes",'R9'!$L13=9),'W9'!H359,IF(AND($L8="Yes",'R9'!$L13=11),'W9'!H385,IF(OR($L8="No",'R9'!L13=12),'W9'!H333)))</f>
        <v>0</v>
      </c>
      <c r="K8" s="100">
        <f ca="1">IF(AND($L8="Yes",'R9'!$L13=9),'W9'!J359,IF(AND($L8="Yes",'R9'!$L13=11),'W9'!J385,IF(OR($L8="No",'R9'!L13=12),'W9'!J333)))</f>
        <v>0</v>
      </c>
      <c r="L8" s="245" t="s">
        <v>150</v>
      </c>
      <c r="M8" s="255"/>
      <c r="N8" s="128">
        <f ca="1">IF(G8=0,0,IF(G8="",0,'R9'!N13/(G8/'R9'!$L13)))</f>
        <v>0</v>
      </c>
      <c r="O8" s="128">
        <f ca="1">IF(H8=0,0,IF(H8="",0,'R9'!O13/(H8/'R9'!$L13)))</f>
        <v>0</v>
      </c>
      <c r="P8" s="128">
        <f ca="1">IF(I8=0,0,IF(I8="",0,'R9'!P13/(I8/'R9'!$L13)))</f>
        <v>0</v>
      </c>
      <c r="Q8" s="128">
        <f ca="1">IF(J8=0,0,IF(J8="",0,'R9'!Q13/(J8/'R9'!$L13)))</f>
        <v>0</v>
      </c>
      <c r="R8" s="128">
        <f ca="1">IF(K8=0,0,IF(K8="",0,'R9'!R13/(K8/'R9'!$L13)))</f>
        <v>0</v>
      </c>
      <c r="S8" s="51" t="str">
        <f>IF('R9'!K13="","CAL",'R9'!K13)</f>
        <v>CAL</v>
      </c>
      <c r="T8" s="255"/>
      <c r="U8" s="51" t="str">
        <f ca="1">IF(G8="","",IF('W9'!$L223="D","n/a",IF('W9'!B$247='W9'!C$247,"("&amp;ROUND('W9'!B253+'W9'!C253,2)&amp;")"&amp;ROUND('W9'!B$247*100,2),"("&amp;ROUND('W9'!B253,2)&amp;")"&amp;ROUND('W9'!B$247*100,2)&amp;"/ ("&amp;ROUND('W9'!C253,2)&amp;")"&amp;ROUND('W9'!C$247*100,2))))</f>
        <v>n/a</v>
      </c>
      <c r="V8" s="51" t="str">
        <f ca="1">IF(H8="","",IF('W9'!$L223="D","n/a",IF('W9'!D$247='W9'!E$247,"("&amp;ROUND('W9'!D253+'W9'!E253,2)&amp;")"&amp;ROUND('W9'!D$247*100,2),"("&amp;ROUND('W9'!D253,2)&amp;")"&amp;ROUND('W9'!D$247*100,2)&amp;"/ ("&amp;ROUND('W9'!E253,2)&amp;")"&amp;ROUND('W9'!E$247*100,2))))</f>
        <v>n/a</v>
      </c>
      <c r="W8" s="51" t="str">
        <f ca="1">IF(I8="","",IF('W9'!$L223="D","n/a",IF('W9'!F$247='W9'!G$247,"("&amp;ROUND('W9'!F253+'W9'!G253,2)&amp;")"&amp;ROUND('W9'!F$247*100,2),"("&amp;ROUND('W9'!F253,2)&amp;")"&amp;ROUND('W9'!F$247*100,2)&amp;"/ ("&amp;ROUND('W9'!G253,2)&amp;")"&amp;ROUND('W9'!G$247*100,2))))</f>
        <v>n/a</v>
      </c>
      <c r="X8" s="51" t="str">
        <f ca="1">IF(J8="","",IF('W9'!$L223="D","n/a",IF('W9'!H$247='W9'!I$247,"("&amp;ROUND('W9'!H253+'W9'!I253,2)&amp;")"&amp;ROUND('W9'!H$247*100,2),"("&amp;ROUND('W9'!H253,2)&amp;")"&amp;ROUND('W9'!H$247*100,2)&amp;"/ ("&amp;ROUND('W9'!I253,2)&amp;")"&amp;ROUND('W9'!I$247*100,2))))</f>
        <v>n/a</v>
      </c>
      <c r="Y8" s="51" t="str">
        <f ca="1">IF(K8="","",IF('W9'!$L223="D","n/a",IF('W9'!J$247='W9'!K$247,"("&amp;ROUND('W9'!J253+'W9'!K253,2)&amp;")"&amp;ROUND('W9'!J$247*100,2),"("&amp;ROUND('W9'!J253,2)&amp;")"&amp;ROUND('W9'!J$247*100,2)&amp;"/ ("&amp;ROUND('W9'!K253,2)&amp;")"&amp;ROUND('W9'!K$247*100,2))))</f>
        <v>n/a</v>
      </c>
    </row>
    <row r="9" spans="1:25" x14ac:dyDescent="0.25">
      <c r="A9" s="129">
        <f>'R9'!A14</f>
        <v>7</v>
      </c>
      <c r="B9" s="124">
        <f>'R9'!B14</f>
        <v>0</v>
      </c>
      <c r="C9" s="124"/>
      <c r="D9" s="125"/>
      <c r="E9" s="267" t="s">
        <v>217</v>
      </c>
      <c r="F9" s="255"/>
      <c r="G9" s="100">
        <f ca="1">IF(AND($L9="Yes",'R9'!$L14=9),'W9'!B360,IF(AND($L9="Yes",'R9'!$L14=11),'W9'!B386,IF(OR($L9="No",'R9'!L14=12),'W9'!B334)))</f>
        <v>0</v>
      </c>
      <c r="H9" s="100">
        <f ca="1">IF(AND($L9="Yes",'R9'!$L14=9),'W9'!D360,IF(AND($L9="Yes",'R9'!$L14=11),'W9'!D386,IF(OR($L9="No",'R9'!L14=12),'W9'!D334)))</f>
        <v>0</v>
      </c>
      <c r="I9" s="100">
        <f ca="1">IF(AND($L9="Yes",'R9'!$L14=9),'W9'!F360,IF(AND($L9="Yes",'R9'!$L14=11),'W9'!F386,IF(OR($L9="No",'R9'!L14=12),'W9'!F334)))</f>
        <v>0</v>
      </c>
      <c r="J9" s="100">
        <f ca="1">IF(AND($L9="Yes",'R9'!$L14=9),'W9'!H360,IF(AND($L9="Yes",'R9'!$L14=11),'W9'!H386,IF(OR($L9="No",'R9'!L14=12),'W9'!H334)))</f>
        <v>0</v>
      </c>
      <c r="K9" s="100">
        <f ca="1">IF(AND($L9="Yes",'R9'!$L14=9),'W9'!J360,IF(AND($L9="Yes",'R9'!$L14=11),'W9'!J386,IF(OR($L9="No",'R9'!L14=12),'W9'!J334)))</f>
        <v>0</v>
      </c>
      <c r="L9" s="245" t="s">
        <v>150</v>
      </c>
      <c r="M9" s="255"/>
      <c r="N9" s="128">
        <f ca="1">IF(G9=0,0,IF(G9="",0,'R9'!N14/(G9/'R9'!$L14)))</f>
        <v>0</v>
      </c>
      <c r="O9" s="128">
        <f ca="1">IF(H9=0,0,IF(H9="",0,'R9'!O14/(H9/'R9'!$L14)))</f>
        <v>0</v>
      </c>
      <c r="P9" s="128">
        <f ca="1">IF(I9=0,0,IF(I9="",0,'R9'!P14/(I9/'R9'!$L14)))</f>
        <v>0</v>
      </c>
      <c r="Q9" s="128">
        <f ca="1">IF(J9=0,0,IF(J9="",0,'R9'!Q14/(J9/'R9'!$L14)))</f>
        <v>0</v>
      </c>
      <c r="R9" s="128">
        <f ca="1">IF(K9=0,0,IF(K9="",0,'R9'!R14/(K9/'R9'!$L14)))</f>
        <v>0</v>
      </c>
      <c r="S9" s="51" t="str">
        <f>IF('R9'!K14="","CAL",'R9'!K14)</f>
        <v>CAL</v>
      </c>
      <c r="T9" s="255"/>
      <c r="U9" s="51" t="str">
        <f ca="1">IF(G9="","",IF('W9'!$L224="D","n/a",IF('W9'!B$247='W9'!C$247,"("&amp;ROUND('W9'!B254+'W9'!C254,2)&amp;")"&amp;ROUND('W9'!B$247*100,2),"("&amp;ROUND('W9'!B254,2)&amp;")"&amp;ROUND('W9'!B$247*100,2)&amp;"/ ("&amp;ROUND('W9'!C254,2)&amp;")"&amp;ROUND('W9'!C$247*100,2))))</f>
        <v>n/a</v>
      </c>
      <c r="V9" s="51" t="str">
        <f ca="1">IF(H9="","",IF('W9'!$L224="D","n/a",IF('W9'!D$247='W9'!E$247,"("&amp;ROUND('W9'!D254+'W9'!E254,2)&amp;")"&amp;ROUND('W9'!D$247*100,2),"("&amp;ROUND('W9'!D254,2)&amp;")"&amp;ROUND('W9'!D$247*100,2)&amp;"/ ("&amp;ROUND('W9'!E254,2)&amp;")"&amp;ROUND('W9'!E$247*100,2))))</f>
        <v>n/a</v>
      </c>
      <c r="W9" s="51" t="str">
        <f ca="1">IF(I9="","",IF('W9'!$L224="D","n/a",IF('W9'!F$247='W9'!G$247,"("&amp;ROUND('W9'!F254+'W9'!G254,2)&amp;")"&amp;ROUND('W9'!F$247*100,2),"("&amp;ROUND('W9'!F254,2)&amp;")"&amp;ROUND('W9'!F$247*100,2)&amp;"/ ("&amp;ROUND('W9'!G254,2)&amp;")"&amp;ROUND('W9'!G$247*100,2))))</f>
        <v>n/a</v>
      </c>
      <c r="X9" s="51" t="str">
        <f ca="1">IF(J9="","",IF('W9'!$L224="D","n/a",IF('W9'!H$247='W9'!I$247,"("&amp;ROUND('W9'!H254+'W9'!I254,2)&amp;")"&amp;ROUND('W9'!H$247*100,2),"("&amp;ROUND('W9'!H254,2)&amp;")"&amp;ROUND('W9'!H$247*100,2)&amp;"/ ("&amp;ROUND('W9'!I254,2)&amp;")"&amp;ROUND('W9'!I$247*100,2))))</f>
        <v>n/a</v>
      </c>
      <c r="Y9" s="51" t="str">
        <f ca="1">IF(K9="","",IF('W9'!$L224="D","n/a",IF('W9'!J$247='W9'!K$247,"("&amp;ROUND('W9'!J254+'W9'!K254,2)&amp;")"&amp;ROUND('W9'!J$247*100,2),"("&amp;ROUND('W9'!J254,2)&amp;")"&amp;ROUND('W9'!J$247*100,2)&amp;"/ ("&amp;ROUND('W9'!K254,2)&amp;")"&amp;ROUND('W9'!K$247*100,2))))</f>
        <v>n/a</v>
      </c>
    </row>
    <row r="10" spans="1:25" x14ac:dyDescent="0.25">
      <c r="A10" s="129">
        <f>'R9'!A15</f>
        <v>8</v>
      </c>
      <c r="B10" s="124">
        <f>'R9'!B15</f>
        <v>0</v>
      </c>
      <c r="C10" s="124"/>
      <c r="D10" s="125"/>
      <c r="E10" s="267" t="s">
        <v>217</v>
      </c>
      <c r="F10" s="255"/>
      <c r="G10" s="100">
        <f ca="1">IF(AND($L10="Yes",'R9'!$L15=9),'W9'!B361,IF(AND($L10="Yes",'R9'!$L15=11),'W9'!B387,IF(OR($L10="No",'R9'!L15=12),'W9'!B335)))</f>
        <v>0</v>
      </c>
      <c r="H10" s="100">
        <f ca="1">IF(AND($L10="Yes",'R9'!$L15=9),'W9'!D361,IF(AND($L10="Yes",'R9'!$L15=11),'W9'!D387,IF(OR($L10="No",'R9'!L15=12),'W9'!D335)))</f>
        <v>0</v>
      </c>
      <c r="I10" s="100">
        <f ca="1">IF(AND($L10="Yes",'R9'!$L15=9),'W9'!F361,IF(AND($L10="Yes",'R9'!$L15=11),'W9'!F387,IF(OR($L10="No",'R9'!L15=12),'W9'!F335)))</f>
        <v>0</v>
      </c>
      <c r="J10" s="100">
        <f ca="1">IF(AND($L10="Yes",'R9'!$L15=9),'W9'!H361,IF(AND($L10="Yes",'R9'!$L15=11),'W9'!H387,IF(OR($L10="No",'R9'!L15=12),'W9'!H335)))</f>
        <v>0</v>
      </c>
      <c r="K10" s="100">
        <f ca="1">IF(AND($L10="Yes",'R9'!$L15=9),'W9'!J361,IF(AND($L10="Yes",'R9'!$L15=11),'W9'!J387,IF(OR($L10="No",'R9'!L15=12),'W9'!J335)))</f>
        <v>0</v>
      </c>
      <c r="L10" s="245" t="s">
        <v>150</v>
      </c>
      <c r="M10" s="255"/>
      <c r="N10" s="128">
        <f ca="1">IF(G10=0,0,IF(G10="",0,'R9'!N15/(G10/'R9'!$L15)))</f>
        <v>0</v>
      </c>
      <c r="O10" s="128">
        <f ca="1">IF(H10=0,0,IF(H10="",0,'R9'!O15/(H10/'R9'!$L15)))</f>
        <v>0</v>
      </c>
      <c r="P10" s="128">
        <f ca="1">IF(I10=0,0,IF(I10="",0,'R9'!P15/(I10/'R9'!$L15)))</f>
        <v>0</v>
      </c>
      <c r="Q10" s="128">
        <f ca="1">IF(J10=0,0,IF(J10="",0,'R9'!Q15/(J10/'R9'!$L15)))</f>
        <v>0</v>
      </c>
      <c r="R10" s="128">
        <f ca="1">IF(K10=0,0,IF(K10="",0,'R9'!R15/(K10/'R9'!$L15)))</f>
        <v>0</v>
      </c>
      <c r="S10" s="51" t="str">
        <f>IF('R9'!K15="","CAL",'R9'!K15)</f>
        <v>CAL</v>
      </c>
      <c r="T10" s="255"/>
      <c r="U10" s="51" t="str">
        <f ca="1">IF(G10="","",IF('W9'!$L225="D","n/a",IF('W9'!B$247='W9'!C$247,"("&amp;ROUND('W9'!B255+'W9'!C255,2)&amp;")"&amp;ROUND('W9'!B$247*100,2),"("&amp;ROUND('W9'!B255,2)&amp;")"&amp;ROUND('W9'!B$247*100,2)&amp;"/ ("&amp;ROUND('W9'!C255,2)&amp;")"&amp;ROUND('W9'!C$247*100,2))))</f>
        <v>n/a</v>
      </c>
      <c r="V10" s="51" t="str">
        <f ca="1">IF(H10="","",IF('W9'!$L225="D","n/a",IF('W9'!D$247='W9'!E$247,"("&amp;ROUND('W9'!D255+'W9'!E255,2)&amp;")"&amp;ROUND('W9'!D$247*100,2),"("&amp;ROUND('W9'!D255,2)&amp;")"&amp;ROUND('W9'!D$247*100,2)&amp;"/ ("&amp;ROUND('W9'!E255,2)&amp;")"&amp;ROUND('W9'!E$247*100,2))))</f>
        <v>n/a</v>
      </c>
      <c r="W10" s="51" t="str">
        <f ca="1">IF(I10="","",IF('W9'!$L225="D","n/a",IF('W9'!F$247='W9'!G$247,"("&amp;ROUND('W9'!F255+'W9'!G255,2)&amp;")"&amp;ROUND('W9'!F$247*100,2),"("&amp;ROUND('W9'!F255,2)&amp;")"&amp;ROUND('W9'!F$247*100,2)&amp;"/ ("&amp;ROUND('W9'!G255,2)&amp;")"&amp;ROUND('W9'!G$247*100,2))))</f>
        <v>n/a</v>
      </c>
      <c r="X10" s="51" t="str">
        <f ca="1">IF(J10="","",IF('W9'!$L225="D","n/a",IF('W9'!H$247='W9'!I$247,"("&amp;ROUND('W9'!H255+'W9'!I255,2)&amp;")"&amp;ROUND('W9'!H$247*100,2),"("&amp;ROUND('W9'!H255,2)&amp;")"&amp;ROUND('W9'!H$247*100,2)&amp;"/ ("&amp;ROUND('W9'!I255,2)&amp;")"&amp;ROUND('W9'!I$247*100,2))))</f>
        <v>n/a</v>
      </c>
      <c r="Y10" s="51" t="str">
        <f ca="1">IF(K10="","",IF('W9'!$L225="D","n/a",IF('W9'!J$247='W9'!K$247,"("&amp;ROUND('W9'!J255+'W9'!K255,2)&amp;")"&amp;ROUND('W9'!J$247*100,2),"("&amp;ROUND('W9'!J255,2)&amp;")"&amp;ROUND('W9'!J$247*100,2)&amp;"/ ("&amp;ROUND('W9'!K255,2)&amp;")"&amp;ROUND('W9'!K$247*100,2))))</f>
        <v>n/a</v>
      </c>
    </row>
    <row r="11" spans="1:25" x14ac:dyDescent="0.25">
      <c r="A11" s="129">
        <f>'R9'!A16</f>
        <v>9</v>
      </c>
      <c r="B11" s="124">
        <f>'R9'!B16</f>
        <v>0</v>
      </c>
      <c r="C11" s="124"/>
      <c r="D11" s="125"/>
      <c r="E11" s="267" t="s">
        <v>180</v>
      </c>
      <c r="F11" s="255"/>
      <c r="G11" s="100">
        <f ca="1">IF(AND($L11="Yes",'R9'!$L16=9),'W9'!B362,IF(AND($L11="Yes",'R9'!$L16=11),'W9'!B388,IF(OR($L11="No",'R9'!L16=12),'W9'!B336)))</f>
        <v>0</v>
      </c>
      <c r="H11" s="100">
        <f ca="1">IF(AND($L11="Yes",'R9'!$L16=9),'W9'!D362,IF(AND($L11="Yes",'R9'!$L16=11),'W9'!D388,IF(OR($L11="No",'R9'!L16=12),'W9'!D336)))</f>
        <v>0</v>
      </c>
      <c r="I11" s="100">
        <f ca="1">IF(AND($L11="Yes",'R9'!$L16=9),'W9'!F362,IF(AND($L11="Yes",'R9'!$L16=11),'W9'!F388,IF(OR($L11="No",'R9'!L16=12),'W9'!F336)))</f>
        <v>0</v>
      </c>
      <c r="J11" s="100">
        <f ca="1">IF(AND($L11="Yes",'R9'!$L16=9),'W9'!H362,IF(AND($L11="Yes",'R9'!$L16=11),'W9'!H388,IF(OR($L11="No",'R9'!L16=12),'W9'!H336)))</f>
        <v>0</v>
      </c>
      <c r="K11" s="100">
        <f ca="1">IF(AND($L11="Yes",'R9'!$L16=9),'W9'!J362,IF(AND($L11="Yes",'R9'!$L16=11),'W9'!J388,IF(OR($L11="No",'R9'!L16=12),'W9'!J336)))</f>
        <v>0</v>
      </c>
      <c r="L11" s="245" t="s">
        <v>150</v>
      </c>
      <c r="M11" s="255"/>
      <c r="N11" s="128">
        <f ca="1">IF(G11=0,0,IF(G11="",0,'R9'!N16/(G11/'R9'!$L16)))</f>
        <v>0</v>
      </c>
      <c r="O11" s="128">
        <f ca="1">IF(H11=0,0,IF(H11="",0,'R9'!O16/(H11/'R9'!$L16)))</f>
        <v>0</v>
      </c>
      <c r="P11" s="128">
        <f ca="1">IF(I11=0,0,IF(I11="",0,'R9'!P16/(I11/'R9'!$L16)))</f>
        <v>0</v>
      </c>
      <c r="Q11" s="128">
        <f ca="1">IF(J11=0,0,IF(J11="",0,'R9'!Q16/(J11/'R9'!$L16)))</f>
        <v>0</v>
      </c>
      <c r="R11" s="128">
        <f ca="1">IF(K11=0,0,IF(K11="",0,'R9'!R16/(K11/'R9'!$L16)))</f>
        <v>0</v>
      </c>
      <c r="S11" s="51" t="str">
        <f>IF('R9'!K16="","CAL",'R9'!K16)</f>
        <v>CAL</v>
      </c>
      <c r="T11" s="255"/>
      <c r="U11" s="51" t="str">
        <f ca="1">IF(G11="","",IF('W9'!$L226="D","n/a",IF('W9'!B$247='W9'!C$247,"("&amp;ROUND('W9'!B256+'W9'!C256,2)&amp;")"&amp;ROUND('W9'!B$247*100,2),"("&amp;ROUND('W9'!B256,2)&amp;")"&amp;ROUND('W9'!B$247*100,2)&amp;"/ ("&amp;ROUND('W9'!C256,2)&amp;")"&amp;ROUND('W9'!C$247*100,2))))</f>
        <v>n/a</v>
      </c>
      <c r="V11" s="51" t="str">
        <f ca="1">IF(H11="","",IF('W9'!$L226="D","n/a",IF('W9'!D$247='W9'!E$247,"("&amp;ROUND('W9'!D256+'W9'!E256,2)&amp;")"&amp;ROUND('W9'!D$247*100,2),"("&amp;ROUND('W9'!D256,2)&amp;")"&amp;ROUND('W9'!D$247*100,2)&amp;"/ ("&amp;ROUND('W9'!E256,2)&amp;")"&amp;ROUND('W9'!E$247*100,2))))</f>
        <v>n/a</v>
      </c>
      <c r="W11" s="51" t="str">
        <f ca="1">IF(I11="","",IF('W9'!$L226="D","n/a",IF('W9'!F$247='W9'!G$247,"("&amp;ROUND('W9'!F256+'W9'!G256,2)&amp;")"&amp;ROUND('W9'!F$247*100,2),"("&amp;ROUND('W9'!F256,2)&amp;")"&amp;ROUND('W9'!F$247*100,2)&amp;"/ ("&amp;ROUND('W9'!G256,2)&amp;")"&amp;ROUND('W9'!G$247*100,2))))</f>
        <v>n/a</v>
      </c>
      <c r="X11" s="51" t="str">
        <f ca="1">IF(J11="","",IF('W9'!$L226="D","n/a",IF('W9'!H$247='W9'!I$247,"("&amp;ROUND('W9'!H256+'W9'!I256,2)&amp;")"&amp;ROUND('W9'!H$247*100,2),"("&amp;ROUND('W9'!H256,2)&amp;")"&amp;ROUND('W9'!H$247*100,2)&amp;"/ ("&amp;ROUND('W9'!I256,2)&amp;")"&amp;ROUND('W9'!I$247*100,2))))</f>
        <v>n/a</v>
      </c>
      <c r="Y11" s="51" t="str">
        <f ca="1">IF(K11="","",IF('W9'!$L226="D","n/a",IF('W9'!J$247='W9'!K$247,"("&amp;ROUND('W9'!J256+'W9'!K256,2)&amp;")"&amp;ROUND('W9'!J$247*100,2),"("&amp;ROUND('W9'!J256,2)&amp;")"&amp;ROUND('W9'!J$247*100,2)&amp;"/ ("&amp;ROUND('W9'!K256,2)&amp;")"&amp;ROUND('W9'!K$247*100,2))))</f>
        <v>n/a</v>
      </c>
    </row>
    <row r="12" spans="1:25" x14ac:dyDescent="0.25">
      <c r="A12" s="129">
        <f>'R9'!A17</f>
        <v>10</v>
      </c>
      <c r="B12" s="124">
        <f>'R9'!B17</f>
        <v>0</v>
      </c>
      <c r="C12" s="124"/>
      <c r="D12" s="125"/>
      <c r="E12" s="267" t="s">
        <v>180</v>
      </c>
      <c r="F12" s="255"/>
      <c r="G12" s="100">
        <f ca="1">IF(AND($L12="Yes",'R9'!$L17=9),'W9'!B363,IF(AND($L12="Yes",'R9'!$L17=11),'W9'!B389,IF(OR($L12="No",'R9'!L17=12),'W9'!B337)))</f>
        <v>0</v>
      </c>
      <c r="H12" s="100">
        <f ca="1">IF(AND($L12="Yes",'R9'!$L17=9),'W9'!D363,IF(AND($L12="Yes",'R9'!$L17=11),'W9'!D389,IF(OR($L12="No",'R9'!L17=12),'W9'!D337)))</f>
        <v>0</v>
      </c>
      <c r="I12" s="100">
        <f ca="1">IF(AND($L12="Yes",'R9'!$L17=9),'W9'!F363,IF(AND($L12="Yes",'R9'!$L17=11),'W9'!F389,IF(OR($L12="No",'R9'!L17=12),'W9'!F337)))</f>
        <v>0</v>
      </c>
      <c r="J12" s="100">
        <f ca="1">IF(AND($L12="Yes",'R9'!$L17=9),'W9'!H363,IF(AND($L12="Yes",'R9'!$L17=11),'W9'!H389,IF(OR($L12="No",'R9'!L17=12),'W9'!H337)))</f>
        <v>0</v>
      </c>
      <c r="K12" s="100">
        <f ca="1">IF(AND($L12="Yes",'R9'!$L17=9),'W9'!J363,IF(AND($L12="Yes",'R9'!$L17=11),'W9'!J389,IF(OR($L12="No",'R9'!L17=12),'W9'!J337)))</f>
        <v>0</v>
      </c>
      <c r="L12" s="245" t="s">
        <v>150</v>
      </c>
      <c r="M12" s="255"/>
      <c r="N12" s="128">
        <f ca="1">IF(G12=0,0,IF(G12="",0,'R9'!N17/(G12/'R9'!$L17)))</f>
        <v>0</v>
      </c>
      <c r="O12" s="128">
        <f ca="1">IF(H12=0,0,IF(H12="",0,'R9'!O17/(H12/'R9'!$L17)))</f>
        <v>0</v>
      </c>
      <c r="P12" s="128">
        <f ca="1">IF(I12=0,0,IF(I12="",0,'R9'!P17/(I12/'R9'!$L17)))</f>
        <v>0</v>
      </c>
      <c r="Q12" s="128">
        <f ca="1">IF(J12=0,0,IF(J12="",0,'R9'!Q17/(J12/'R9'!$L17)))</f>
        <v>0</v>
      </c>
      <c r="R12" s="128">
        <f ca="1">IF(K12=0,0,IF(K12="",0,'R9'!R17/(K12/'R9'!$L17)))</f>
        <v>0</v>
      </c>
      <c r="S12" s="51" t="str">
        <f>IF('R9'!K17="","CAL",'R9'!K17)</f>
        <v>CAL</v>
      </c>
      <c r="T12" s="255"/>
      <c r="U12" s="51" t="str">
        <f ca="1">IF(G12="","",IF('W9'!$L227="D","n/a",IF('W9'!B$247='W9'!C$247,"("&amp;ROUND('W9'!B257+'W9'!C257,2)&amp;")"&amp;ROUND('W9'!B$247*100,2),"("&amp;ROUND('W9'!B257,2)&amp;")"&amp;ROUND('W9'!B$247*100,2)&amp;"/ ("&amp;ROUND('W9'!C257,2)&amp;")"&amp;ROUND('W9'!C$247*100,2))))</f>
        <v>n/a</v>
      </c>
      <c r="V12" s="51" t="str">
        <f ca="1">IF(H12="","",IF('W9'!$L227="D","n/a",IF('W9'!D$247='W9'!E$247,"("&amp;ROUND('W9'!D257+'W9'!E257,2)&amp;")"&amp;ROUND('W9'!D$247*100,2),"("&amp;ROUND('W9'!D257,2)&amp;")"&amp;ROUND('W9'!D$247*100,2)&amp;"/ ("&amp;ROUND('W9'!E257,2)&amp;")"&amp;ROUND('W9'!E$247*100,2))))</f>
        <v>n/a</v>
      </c>
      <c r="W12" s="51" t="str">
        <f ca="1">IF(I12="","",IF('W9'!$L227="D","n/a",IF('W9'!F$247='W9'!G$247,"("&amp;ROUND('W9'!F257+'W9'!G257,2)&amp;")"&amp;ROUND('W9'!F$247*100,2),"("&amp;ROUND('W9'!F257,2)&amp;")"&amp;ROUND('W9'!F$247*100,2)&amp;"/ ("&amp;ROUND('W9'!G257,2)&amp;")"&amp;ROUND('W9'!G$247*100,2))))</f>
        <v>n/a</v>
      </c>
      <c r="X12" s="51" t="str">
        <f ca="1">IF(J12="","",IF('W9'!$L227="D","n/a",IF('W9'!H$247='W9'!I$247,"("&amp;ROUND('W9'!H257+'W9'!I257,2)&amp;")"&amp;ROUND('W9'!H$247*100,2),"("&amp;ROUND('W9'!H257,2)&amp;")"&amp;ROUND('W9'!H$247*100,2)&amp;"/ ("&amp;ROUND('W9'!I257,2)&amp;")"&amp;ROUND('W9'!I$247*100,2))))</f>
        <v>n/a</v>
      </c>
      <c r="Y12" s="51" t="str">
        <f ca="1">IF(K12="","",IF('W9'!$L227="D","n/a",IF('W9'!J$247='W9'!K$247,"("&amp;ROUND('W9'!J257+'W9'!K257,2)&amp;")"&amp;ROUND('W9'!J$247*100,2),"("&amp;ROUND('W9'!J257,2)&amp;")"&amp;ROUND('W9'!J$247*100,2)&amp;"/ ("&amp;ROUND('W9'!K257,2)&amp;")"&amp;ROUND('W9'!K$247*100,2))))</f>
        <v>n/a</v>
      </c>
    </row>
    <row r="13" spans="1:25" x14ac:dyDescent="0.25">
      <c r="A13" s="129">
        <f>'R9'!A18</f>
        <v>11</v>
      </c>
      <c r="B13" s="124">
        <f>'R9'!B18</f>
        <v>0</v>
      </c>
      <c r="C13" s="124"/>
      <c r="D13" s="125"/>
      <c r="E13" s="267" t="s">
        <v>180</v>
      </c>
      <c r="F13" s="255"/>
      <c r="G13" s="100">
        <f ca="1">IF(AND($L13="Yes",'R9'!$L18=9),'W9'!B364,IF(AND($L13="Yes",'R9'!$L18=11),'W9'!B390,IF(OR($L13="No",'R9'!L18=12),'W9'!B338)))</f>
        <v>0</v>
      </c>
      <c r="H13" s="100">
        <f ca="1">IF(AND($L13="Yes",'R9'!$L18=9),'W9'!D364,IF(AND($L13="Yes",'R9'!$L18=11),'W9'!D390,IF(OR($L13="No",'R9'!L18=12),'W9'!D338)))</f>
        <v>0</v>
      </c>
      <c r="I13" s="100">
        <f ca="1">IF(AND($L13="Yes",'R9'!$L18=9),'W9'!F364,IF(AND($L13="Yes",'R9'!$L18=11),'W9'!F390,IF(OR($L13="No",'R9'!L18=12),'W9'!F338)))</f>
        <v>0</v>
      </c>
      <c r="J13" s="100">
        <f ca="1">IF(AND($L13="Yes",'R9'!$L18=9),'W9'!H364,IF(AND($L13="Yes",'R9'!$L18=11),'W9'!H390,IF(OR($L13="No",'R9'!L18=12),'W9'!H338)))</f>
        <v>0</v>
      </c>
      <c r="K13" s="100">
        <f ca="1">IF(AND($L13="Yes",'R9'!$L18=9),'W9'!J364,IF(AND($L13="Yes",'R9'!$L18=11),'W9'!J390,IF(OR($L13="No",'R9'!L18=12),'W9'!J338)))</f>
        <v>0</v>
      </c>
      <c r="L13" s="245" t="s">
        <v>150</v>
      </c>
      <c r="M13" s="255"/>
      <c r="N13" s="128">
        <f ca="1">IF(G13=0,0,IF(G13="",0,'R9'!N18/(G13/'R9'!$L18)))</f>
        <v>0</v>
      </c>
      <c r="O13" s="128">
        <f ca="1">IF(H13=0,0,IF(H13="",0,'R9'!O18/(H13/'R9'!$L18)))</f>
        <v>0</v>
      </c>
      <c r="P13" s="128">
        <f ca="1">IF(I13=0,0,IF(I13="",0,'R9'!P18/(I13/'R9'!$L18)))</f>
        <v>0</v>
      </c>
      <c r="Q13" s="128">
        <f ca="1">IF(J13=0,0,IF(J13="",0,'R9'!Q18/(J13/'R9'!$L18)))</f>
        <v>0</v>
      </c>
      <c r="R13" s="128">
        <f ca="1">IF(K13=0,0,IF(K13="",0,'R9'!R18/(K13/'R9'!$L18)))</f>
        <v>0</v>
      </c>
      <c r="S13" s="51" t="str">
        <f>IF('R9'!K18="","CAL",'R9'!K18)</f>
        <v>CAL</v>
      </c>
      <c r="T13" s="255"/>
      <c r="U13" s="51" t="str">
        <f ca="1">IF(G13="","",IF('W9'!$L228="D","n/a",IF('W9'!B$247='W9'!C$247,"("&amp;ROUND('W9'!B258+'W9'!C258,2)&amp;")"&amp;ROUND('W9'!B$247*100,2),"("&amp;ROUND('W9'!B258,2)&amp;")"&amp;ROUND('W9'!B$247*100,2)&amp;"/ ("&amp;ROUND('W9'!C258,2)&amp;")"&amp;ROUND('W9'!C$247*100,2))))</f>
        <v>n/a</v>
      </c>
      <c r="V13" s="51" t="str">
        <f ca="1">IF(H13="","",IF('W9'!$L228="D","n/a",IF('W9'!D$247='W9'!E$247,"("&amp;ROUND('W9'!D258+'W9'!E258,2)&amp;")"&amp;ROUND('W9'!D$247*100,2),"("&amp;ROUND('W9'!D258,2)&amp;")"&amp;ROUND('W9'!D$247*100,2)&amp;"/ ("&amp;ROUND('W9'!E258,2)&amp;")"&amp;ROUND('W9'!E$247*100,2))))</f>
        <v>n/a</v>
      </c>
      <c r="W13" s="51" t="str">
        <f ca="1">IF(I13="","",IF('W9'!$L228="D","n/a",IF('W9'!F$247='W9'!G$247,"("&amp;ROUND('W9'!F258+'W9'!G258,2)&amp;")"&amp;ROUND('W9'!F$247*100,2),"("&amp;ROUND('W9'!F258,2)&amp;")"&amp;ROUND('W9'!F$247*100,2)&amp;"/ ("&amp;ROUND('W9'!G258,2)&amp;")"&amp;ROUND('W9'!G$247*100,2))))</f>
        <v>n/a</v>
      </c>
      <c r="X13" s="51" t="str">
        <f ca="1">IF(J13="","",IF('W9'!$L228="D","n/a",IF('W9'!H$247='W9'!I$247,"("&amp;ROUND('W9'!H258+'W9'!I258,2)&amp;")"&amp;ROUND('W9'!H$247*100,2),"("&amp;ROUND('W9'!H258,2)&amp;")"&amp;ROUND('W9'!H$247*100,2)&amp;"/ ("&amp;ROUND('W9'!I258,2)&amp;")"&amp;ROUND('W9'!I$247*100,2))))</f>
        <v>n/a</v>
      </c>
      <c r="Y13" s="51" t="str">
        <f ca="1">IF(K13="","",IF('W9'!$L228="D","n/a",IF('W9'!J$247='W9'!K$247,"("&amp;ROUND('W9'!J258+'W9'!K258,2)&amp;")"&amp;ROUND('W9'!J$247*100,2),"("&amp;ROUND('W9'!J258,2)&amp;")"&amp;ROUND('W9'!J$247*100,2)&amp;"/ ("&amp;ROUND('W9'!K258,2)&amp;")"&amp;ROUND('W9'!K$247*100,2))))</f>
        <v>n/a</v>
      </c>
    </row>
    <row r="14" spans="1:25" x14ac:dyDescent="0.25">
      <c r="A14" s="129">
        <f>'R9'!A19</f>
        <v>12</v>
      </c>
      <c r="B14" s="124">
        <f>'R9'!B19</f>
        <v>0</v>
      </c>
      <c r="C14" s="124"/>
      <c r="D14" s="125"/>
      <c r="E14" s="267" t="s">
        <v>180</v>
      </c>
      <c r="F14" s="255"/>
      <c r="G14" s="100">
        <f ca="1">IF(AND($L14="Yes",'R9'!$L19=9),'W9'!B365,IF(AND($L14="Yes",'R9'!$L19=11),'W9'!B391,IF(OR($L14="No",'R9'!L19=12),'W9'!B339)))</f>
        <v>0</v>
      </c>
      <c r="H14" s="100">
        <f ca="1">IF(AND($L14="Yes",'R9'!$L19=9),'W9'!D365,IF(AND($L14="Yes",'R9'!$L19=11),'W9'!D391,IF(OR($L14="No",'R9'!L19=12),'W9'!D339)))</f>
        <v>0</v>
      </c>
      <c r="I14" s="100">
        <f ca="1">IF(AND($L14="Yes",'R9'!$L19=9),'W9'!F365,IF(AND($L14="Yes",'R9'!$L19=11),'W9'!F391,IF(OR($L14="No",'R9'!L19=12),'W9'!F339)))</f>
        <v>0</v>
      </c>
      <c r="J14" s="100">
        <f ca="1">IF(AND($L14="Yes",'R9'!$L19=9),'W9'!H365,IF(AND($L14="Yes",'R9'!$L19=11),'W9'!H391,IF(OR($L14="No",'R9'!L19=12),'W9'!H339)))</f>
        <v>0</v>
      </c>
      <c r="K14" s="100">
        <f ca="1">IF(AND($L14="Yes",'R9'!$L19=9),'W9'!J365,IF(AND($L14="Yes",'R9'!$L19=11),'W9'!J391,IF(OR($L14="No",'R9'!L19=12),'W9'!J339)))</f>
        <v>0</v>
      </c>
      <c r="L14" s="245" t="s">
        <v>150</v>
      </c>
      <c r="M14" s="255"/>
      <c r="N14" s="128">
        <f ca="1">IF(G14=0,0,IF(G14="",0,'R9'!N19/(G14/'R9'!$L19)))</f>
        <v>0</v>
      </c>
      <c r="O14" s="128">
        <f ca="1">IF(H14=0,0,IF(H14="",0,'R9'!O19/(H14/'R9'!$L19)))</f>
        <v>0</v>
      </c>
      <c r="P14" s="128">
        <f ca="1">IF(I14=0,0,IF(I14="",0,'R9'!P19/(I14/'R9'!$L19)))</f>
        <v>0</v>
      </c>
      <c r="Q14" s="128">
        <f ca="1">IF(J14=0,0,IF(J14="",0,'R9'!Q19/(J14/'R9'!$L19)))</f>
        <v>0</v>
      </c>
      <c r="R14" s="128">
        <f ca="1">IF(K14=0,0,IF(K14="",0,'R9'!R19/(K14/'R9'!$L19)))</f>
        <v>0</v>
      </c>
      <c r="S14" s="51" t="str">
        <f>IF('R9'!K19="","CAL",'R9'!K19)</f>
        <v>CAL</v>
      </c>
      <c r="T14" s="255"/>
      <c r="U14" s="51" t="str">
        <f ca="1">IF(G14="","",IF('W9'!$L229="D","n/a",IF('W9'!B$247='W9'!C$247,"("&amp;ROUND('W9'!B259+'W9'!C259,2)&amp;")"&amp;ROUND('W9'!B$247*100,2),"("&amp;ROUND('W9'!B259,2)&amp;")"&amp;ROUND('W9'!B$247*100,2)&amp;"/ ("&amp;ROUND('W9'!C259,2)&amp;")"&amp;ROUND('W9'!C$247*100,2))))</f>
        <v>n/a</v>
      </c>
      <c r="V14" s="51" t="str">
        <f ca="1">IF(H14="","",IF('W9'!$L229="D","n/a",IF('W9'!D$247='W9'!E$247,"("&amp;ROUND('W9'!D259+'W9'!E259,2)&amp;")"&amp;ROUND('W9'!D$247*100,2),"("&amp;ROUND('W9'!D259,2)&amp;")"&amp;ROUND('W9'!D$247*100,2)&amp;"/ ("&amp;ROUND('W9'!E259,2)&amp;")"&amp;ROUND('W9'!E$247*100,2))))</f>
        <v>n/a</v>
      </c>
      <c r="W14" s="51" t="str">
        <f ca="1">IF(I14="","",IF('W9'!$L229="D","n/a",IF('W9'!F$247='W9'!G$247,"("&amp;ROUND('W9'!F259+'W9'!G259,2)&amp;")"&amp;ROUND('W9'!F$247*100,2),"("&amp;ROUND('W9'!F259,2)&amp;")"&amp;ROUND('W9'!F$247*100,2)&amp;"/ ("&amp;ROUND('W9'!G259,2)&amp;")"&amp;ROUND('W9'!G$247*100,2))))</f>
        <v>n/a</v>
      </c>
      <c r="X14" s="51" t="str">
        <f ca="1">IF(J14="","",IF('W9'!$L229="D","n/a",IF('W9'!H$247='W9'!I$247,"("&amp;ROUND('W9'!H259+'W9'!I259,2)&amp;")"&amp;ROUND('W9'!H$247*100,2),"("&amp;ROUND('W9'!H259,2)&amp;")"&amp;ROUND('W9'!H$247*100,2)&amp;"/ ("&amp;ROUND('W9'!I259,2)&amp;")"&amp;ROUND('W9'!I$247*100,2))))</f>
        <v>n/a</v>
      </c>
      <c r="Y14" s="51" t="str">
        <f ca="1">IF(K14="","",IF('W9'!$L229="D","n/a",IF('W9'!J$247='W9'!K$247,"("&amp;ROUND('W9'!J259+'W9'!K259,2)&amp;")"&amp;ROUND('W9'!J$247*100,2),"("&amp;ROUND('W9'!J259,2)&amp;")"&amp;ROUND('W9'!J$247*100,2)&amp;"/ ("&amp;ROUND('W9'!K259,2)&amp;")"&amp;ROUND('W9'!K$247*100,2))))</f>
        <v>n/a</v>
      </c>
    </row>
    <row r="15" spans="1:25" hidden="1" x14ac:dyDescent="0.25">
      <c r="A15" s="129">
        <f>'R9'!A20</f>
        <v>13</v>
      </c>
      <c r="B15" s="124">
        <f>'R9'!B20</f>
        <v>0</v>
      </c>
      <c r="C15" s="124"/>
      <c r="D15" s="125"/>
      <c r="E15" s="267" t="s">
        <v>180</v>
      </c>
      <c r="F15" s="255"/>
      <c r="G15" s="100">
        <f ca="1">IF(AND($L15="Yes",'R9'!$L20=9),'W9'!B366,IF(AND($L15="Yes",'R9'!$L20=11),'W9'!B392,IF(OR($L15="No",'R9'!L20=12),'W9'!B340)))</f>
        <v>0</v>
      </c>
      <c r="H15" s="100">
        <f ca="1">IF(AND($L15="Yes",'R9'!$L20=9),'W9'!D366,IF(AND($L15="Yes",'R9'!$L20=11),'W9'!D392,IF(OR($L15="No",'R9'!L20=12),'W9'!D340)))</f>
        <v>0</v>
      </c>
      <c r="I15" s="100">
        <f ca="1">IF(AND($L15="Yes",'R9'!$L20=9),'W9'!F366,IF(AND($L15="Yes",'R9'!$L20=11),'W9'!F392,IF(OR($L15="No",'R9'!L20=12),'W9'!F340)))</f>
        <v>0</v>
      </c>
      <c r="J15" s="100">
        <f ca="1">IF(AND($L15="Yes",'R9'!$L20=9),'W9'!H366,IF(AND($L15="Yes",'R9'!$L20=11),'W9'!H392,IF(OR($L15="No",'R9'!L20=12),'W9'!H340)))</f>
        <v>0</v>
      </c>
      <c r="K15" s="100">
        <f ca="1">IF(AND($L15="Yes",'R9'!$L20=9),'W9'!J366,IF(AND($L15="Yes",'R9'!$L20=11),'W9'!J392,IF(OR($L15="No",'R9'!L20=12),'W9'!J340)))</f>
        <v>0</v>
      </c>
      <c r="L15" s="245" t="s">
        <v>150</v>
      </c>
      <c r="M15" s="255"/>
      <c r="N15" s="128">
        <f ca="1">IF(G15=0,0,IF(G15="",0,'R9'!N20/(G15/'R9'!$L20)))</f>
        <v>0</v>
      </c>
      <c r="O15" s="128">
        <f ca="1">IF(H15=0,0,IF(H15="",0,'R9'!O20/(H15/'R9'!$L20)))</f>
        <v>0</v>
      </c>
      <c r="P15" s="128">
        <f ca="1">IF(I15=0,0,IF(I15="",0,'R9'!P20/(I15/'R9'!$L20)))</f>
        <v>0</v>
      </c>
      <c r="Q15" s="128">
        <f ca="1">IF(J15=0,0,IF(J15="",0,'R9'!Q20/(J15/'R9'!$L20)))</f>
        <v>0</v>
      </c>
      <c r="R15" s="128">
        <f ca="1">IF(K15=0,0,IF(K15="",0,'R9'!R20/(K15/'R9'!$L20)))</f>
        <v>0</v>
      </c>
      <c r="S15" s="51" t="str">
        <f>IF('R9'!K20="","CAL",'R9'!K20)</f>
        <v>CAL</v>
      </c>
      <c r="T15" s="255"/>
      <c r="U15" s="51" t="str">
        <f ca="1">IF(G15="","",IF('W9'!$L230="D","n/a",IF('W9'!B$247='W9'!C$247,"("&amp;ROUND('W9'!B260+'W9'!C260,2)&amp;")"&amp;ROUND('W9'!B$247*100,2),"("&amp;ROUND('W9'!B260,2)&amp;")"&amp;ROUND('W9'!B$247*100,2)&amp;"/ ("&amp;ROUND('W9'!C260,2)&amp;")"&amp;ROUND('W9'!C$247*100,2))))</f>
        <v>n/a</v>
      </c>
      <c r="V15" s="51" t="str">
        <f ca="1">IF(H15="","",IF('W9'!$L230="D","n/a",IF('W9'!D$247='W9'!E$247,"("&amp;ROUND('W9'!D260+'W9'!E260,2)&amp;")"&amp;ROUND('W9'!D$247*100,2),"("&amp;ROUND('W9'!D260,2)&amp;")"&amp;ROUND('W9'!D$247*100,2)&amp;"/ ("&amp;ROUND('W9'!E260,2)&amp;")"&amp;ROUND('W9'!E$247*100,2))))</f>
        <v>n/a</v>
      </c>
      <c r="W15" s="51" t="str">
        <f ca="1">IF(I15="","",IF('W9'!$L230="D","n/a",IF('W9'!F$247='W9'!G$247,"("&amp;ROUND('W9'!F260+'W9'!G260,2)&amp;")"&amp;ROUND('W9'!F$247*100,2),"("&amp;ROUND('W9'!F260,2)&amp;")"&amp;ROUND('W9'!F$247*100,2)&amp;"/ ("&amp;ROUND('W9'!G260,2)&amp;")"&amp;ROUND('W9'!G$247*100,2))))</f>
        <v>n/a</v>
      </c>
      <c r="X15" s="51" t="str">
        <f ca="1">IF(J15="","",IF('W9'!$L230="D","n/a",IF('W9'!H$247='W9'!I$247,"("&amp;ROUND('W9'!H260+'W9'!I260,2)&amp;")"&amp;ROUND('W9'!H$247*100,2),"("&amp;ROUND('W9'!H260,2)&amp;")"&amp;ROUND('W9'!H$247*100,2)&amp;"/ ("&amp;ROUND('W9'!I260,2)&amp;")"&amp;ROUND('W9'!I$247*100,2))))</f>
        <v>n/a</v>
      </c>
      <c r="Y15" s="51" t="str">
        <f ca="1">IF(K15="","",IF('W9'!$L230="D","n/a",IF('W9'!J$247='W9'!K$247,"("&amp;ROUND('W9'!J260+'W9'!K260,2)&amp;")"&amp;ROUND('W9'!J$247*100,2),"("&amp;ROUND('W9'!J260,2)&amp;")"&amp;ROUND('W9'!J$247*100,2)&amp;"/ ("&amp;ROUND('W9'!K260,2)&amp;")"&amp;ROUND('W9'!K$247*100,2))))</f>
        <v>n/a</v>
      </c>
    </row>
    <row r="16" spans="1:25" hidden="1" x14ac:dyDescent="0.25">
      <c r="A16" s="129">
        <f>'R9'!A21</f>
        <v>14</v>
      </c>
      <c r="B16" s="124">
        <f>'R9'!B21</f>
        <v>0</v>
      </c>
      <c r="C16" s="124"/>
      <c r="D16" s="125"/>
      <c r="E16" s="267" t="s">
        <v>180</v>
      </c>
      <c r="F16" s="255"/>
      <c r="G16" s="100">
        <f ca="1">IF(AND($L16="Yes",'R9'!$L21=9),'W9'!B367,IF(AND($L16="Yes",'R9'!$L21=11),'W9'!B393,IF(OR($L16="No",'R9'!L21=12),'W9'!B341)))</f>
        <v>0</v>
      </c>
      <c r="H16" s="100">
        <f ca="1">IF(AND($L16="Yes",'R9'!$L21=9),'W9'!D367,IF(AND($L16="Yes",'R9'!$L21=11),'W9'!D393,IF(OR($L16="No",'R9'!L21=12),'W9'!D341)))</f>
        <v>0</v>
      </c>
      <c r="I16" s="100">
        <f ca="1">IF(AND($L16="Yes",'R9'!$L21=9),'W9'!F367,IF(AND($L16="Yes",'R9'!$L21=11),'W9'!F393,IF(OR($L16="No",'R9'!L21=12),'W9'!F341)))</f>
        <v>0</v>
      </c>
      <c r="J16" s="100">
        <f ca="1">IF(AND($L16="Yes",'R9'!$L21=9),'W9'!H367,IF(AND($L16="Yes",'R9'!$L21=11),'W9'!H393,IF(OR($L16="No",'R9'!L21=12),'W9'!H341)))</f>
        <v>0</v>
      </c>
      <c r="K16" s="100">
        <f ca="1">IF(AND($L16="Yes",'R9'!$L21=9),'W9'!J367,IF(AND($L16="Yes",'R9'!$L21=11),'W9'!J393,IF(OR($L16="No",'R9'!L21=12),'W9'!J341)))</f>
        <v>0</v>
      </c>
      <c r="L16" s="245" t="s">
        <v>150</v>
      </c>
      <c r="M16" s="255"/>
      <c r="N16" s="128">
        <f ca="1">IF(G16=0,0,IF(G16="",0,'R9'!N21/(G16/'R9'!$L21)))</f>
        <v>0</v>
      </c>
      <c r="O16" s="128">
        <f ca="1">IF(H16=0,0,IF(H16="",0,'R9'!O21/(H16/'R9'!$L21)))</f>
        <v>0</v>
      </c>
      <c r="P16" s="128">
        <f ca="1">IF(I16=0,0,IF(I16="",0,'R9'!P21/(I16/'R9'!$L21)))</f>
        <v>0</v>
      </c>
      <c r="Q16" s="128">
        <f ca="1">IF(J16=0,0,IF(J16="",0,'R9'!Q21/(J16/'R9'!$L21)))</f>
        <v>0</v>
      </c>
      <c r="R16" s="128">
        <f ca="1">IF(K16=0,0,IF(K16="",0,'R9'!R21/(K16/'R9'!$L21)))</f>
        <v>0</v>
      </c>
      <c r="S16" s="51" t="str">
        <f>IF('R9'!K21="","CAL",'R9'!K21)</f>
        <v>CAL</v>
      </c>
      <c r="T16" s="255"/>
      <c r="U16" s="51" t="str">
        <f ca="1">IF(G16="","",IF('W9'!$L231="D","n/a",IF('W9'!B$247='W9'!C$247,"("&amp;ROUND('W9'!B261+'W9'!C261,2)&amp;")"&amp;ROUND('W9'!B$247*100,2),"("&amp;ROUND('W9'!B261,2)&amp;")"&amp;ROUND('W9'!B$247*100,2)&amp;"/ ("&amp;ROUND('W9'!C261,2)&amp;")"&amp;ROUND('W9'!C$247*100,2))))</f>
        <v>n/a</v>
      </c>
      <c r="V16" s="51" t="str">
        <f ca="1">IF(H16="","",IF('W9'!$L231="D","n/a",IF('W9'!D$247='W9'!E$247,"("&amp;ROUND('W9'!D261+'W9'!E261,2)&amp;")"&amp;ROUND('W9'!D$247*100,2),"("&amp;ROUND('W9'!D261,2)&amp;")"&amp;ROUND('W9'!D$247*100,2)&amp;"/ ("&amp;ROUND('W9'!E261,2)&amp;")"&amp;ROUND('W9'!E$247*100,2))))</f>
        <v>n/a</v>
      </c>
      <c r="W16" s="51" t="str">
        <f ca="1">IF(I16="","",IF('W9'!$L231="D","n/a",IF('W9'!F$247='W9'!G$247,"("&amp;ROUND('W9'!F261+'W9'!G261,2)&amp;")"&amp;ROUND('W9'!F$247*100,2),"("&amp;ROUND('W9'!F261,2)&amp;")"&amp;ROUND('W9'!F$247*100,2)&amp;"/ ("&amp;ROUND('W9'!G261,2)&amp;")"&amp;ROUND('W9'!G$247*100,2))))</f>
        <v>n/a</v>
      </c>
      <c r="X16" s="51" t="str">
        <f ca="1">IF(J16="","",IF('W9'!$L231="D","n/a",IF('W9'!H$247='W9'!I$247,"("&amp;ROUND('W9'!H261+'W9'!I261,2)&amp;")"&amp;ROUND('W9'!H$247*100,2),"("&amp;ROUND('W9'!H261,2)&amp;")"&amp;ROUND('W9'!H$247*100,2)&amp;"/ ("&amp;ROUND('W9'!I261,2)&amp;")"&amp;ROUND('W9'!I$247*100,2))))</f>
        <v>n/a</v>
      </c>
      <c r="Y16" s="51" t="str">
        <f ca="1">IF(K16="","",IF('W9'!$L231="D","n/a",IF('W9'!J$247='W9'!K$247,"("&amp;ROUND('W9'!J261+'W9'!K261,2)&amp;")"&amp;ROUND('W9'!J$247*100,2),"("&amp;ROUND('W9'!J261,2)&amp;")"&amp;ROUND('W9'!J$247*100,2)&amp;"/ ("&amp;ROUND('W9'!K261,2)&amp;")"&amp;ROUND('W9'!K$247*100,2))))</f>
        <v>n/a</v>
      </c>
    </row>
    <row r="17" spans="1:25" hidden="1" x14ac:dyDescent="0.25">
      <c r="A17" s="129">
        <f>'R9'!A22</f>
        <v>15</v>
      </c>
      <c r="B17" s="124">
        <f>'R9'!B22</f>
        <v>0</v>
      </c>
      <c r="C17" s="124"/>
      <c r="D17" s="125"/>
      <c r="E17" s="267" t="s">
        <v>180</v>
      </c>
      <c r="F17" s="255"/>
      <c r="G17" s="100">
        <f ca="1">IF(AND($L17="Yes",'R9'!$L22=9),'W9'!B368,IF(AND($L17="Yes",'R9'!$L22=11),'W9'!B394,IF(OR($L17="No",'R9'!L22=12),'W9'!B342)))</f>
        <v>0</v>
      </c>
      <c r="H17" s="100">
        <f ca="1">IF(AND($L17="Yes",'R9'!$L22=9),'W9'!D368,IF(AND($L17="Yes",'R9'!$L22=11),'W9'!D394,IF(OR($L17="No",'R9'!L22=12),'W9'!D342)))</f>
        <v>0</v>
      </c>
      <c r="I17" s="100">
        <f ca="1">IF(AND($L17="Yes",'R9'!$L22=9),'W9'!F368,IF(AND($L17="Yes",'R9'!$L22=11),'W9'!F394,IF(OR($L17="No",'R9'!L22=12),'W9'!F342)))</f>
        <v>0</v>
      </c>
      <c r="J17" s="100">
        <f ca="1">IF(AND($L17="Yes",'R9'!$L22=9),'W9'!H368,IF(AND($L17="Yes",'R9'!$L22=11),'W9'!H394,IF(OR($L17="No",'R9'!L22=12),'W9'!H342)))</f>
        <v>0</v>
      </c>
      <c r="K17" s="100">
        <f ca="1">IF(AND($L17="Yes",'R9'!$L22=9),'W9'!J368,IF(AND($L17="Yes",'R9'!$L22=11),'W9'!J394,IF(OR($L17="No",'R9'!L22=12),'W9'!J342)))</f>
        <v>0</v>
      </c>
      <c r="L17" s="245" t="s">
        <v>150</v>
      </c>
      <c r="M17" s="255"/>
      <c r="N17" s="128">
        <f ca="1">IF(G17=0,0,IF(G17="",0,'R9'!N22/(G17/'R9'!$L22)))</f>
        <v>0</v>
      </c>
      <c r="O17" s="128">
        <f ca="1">IF(H17=0,0,IF(H17="",0,'R9'!O22/(H17/'R9'!$L22)))</f>
        <v>0</v>
      </c>
      <c r="P17" s="128">
        <f ca="1">IF(I17=0,0,IF(I17="",0,'R9'!P22/(I17/'R9'!$L22)))</f>
        <v>0</v>
      </c>
      <c r="Q17" s="128">
        <f ca="1">IF(J17=0,0,IF(J17="",0,'R9'!Q22/(J17/'R9'!$L22)))</f>
        <v>0</v>
      </c>
      <c r="R17" s="128">
        <f ca="1">IF(K17=0,0,IF(K17="",0,'R9'!R22/(K17/'R9'!$L22)))</f>
        <v>0</v>
      </c>
      <c r="S17" s="51" t="str">
        <f>IF('R9'!K22="","CAL",'R9'!K22)</f>
        <v>CAL</v>
      </c>
      <c r="T17" s="255"/>
      <c r="U17" s="51" t="str">
        <f ca="1">IF(G17="","",IF('W9'!$L232="D","n/a",IF('W9'!B$247='W9'!C$247,"("&amp;ROUND('W9'!B262+'W9'!C262,2)&amp;")"&amp;ROUND('W9'!B$247*100,2),"("&amp;ROUND('W9'!B262,2)&amp;")"&amp;ROUND('W9'!B$247*100,2)&amp;"/ ("&amp;ROUND('W9'!C262,2)&amp;")"&amp;ROUND('W9'!C$247*100,2))))</f>
        <v>n/a</v>
      </c>
      <c r="V17" s="51" t="str">
        <f ca="1">IF(H17="","",IF('W9'!$L232="D","n/a",IF('W9'!D$247='W9'!E$247,"("&amp;ROUND('W9'!D262+'W9'!E262,2)&amp;")"&amp;ROUND('W9'!D$247*100,2),"("&amp;ROUND('W9'!D262,2)&amp;")"&amp;ROUND('W9'!D$247*100,2)&amp;"/ ("&amp;ROUND('W9'!E262,2)&amp;")"&amp;ROUND('W9'!E$247*100,2))))</f>
        <v>n/a</v>
      </c>
      <c r="W17" s="51" t="str">
        <f ca="1">IF(I17="","",IF('W9'!$L232="D","n/a",IF('W9'!F$247='W9'!G$247,"("&amp;ROUND('W9'!F262+'W9'!G262,2)&amp;")"&amp;ROUND('W9'!F$247*100,2),"("&amp;ROUND('W9'!F262,2)&amp;")"&amp;ROUND('W9'!F$247*100,2)&amp;"/ ("&amp;ROUND('W9'!G262,2)&amp;")"&amp;ROUND('W9'!G$247*100,2))))</f>
        <v>n/a</v>
      </c>
      <c r="X17" s="51" t="str">
        <f ca="1">IF(J17="","",IF('W9'!$L232="D","n/a",IF('W9'!H$247='W9'!I$247,"("&amp;ROUND('W9'!H262+'W9'!I262,2)&amp;")"&amp;ROUND('W9'!H$247*100,2),"("&amp;ROUND('W9'!H262,2)&amp;")"&amp;ROUND('W9'!H$247*100,2)&amp;"/ ("&amp;ROUND('W9'!I262,2)&amp;")"&amp;ROUND('W9'!I$247*100,2))))</f>
        <v>n/a</v>
      </c>
      <c r="Y17" s="51" t="str">
        <f ca="1">IF(K17="","",IF('W9'!$L232="D","n/a",IF('W9'!J$247='W9'!K$247,"("&amp;ROUND('W9'!J262+'W9'!K262,2)&amp;")"&amp;ROUND('W9'!J$247*100,2),"("&amp;ROUND('W9'!J262,2)&amp;")"&amp;ROUND('W9'!J$247*100,2)&amp;"/ ("&amp;ROUND('W9'!K262,2)&amp;")"&amp;ROUND('W9'!K$247*100,2))))</f>
        <v>n/a</v>
      </c>
    </row>
    <row r="18" spans="1:25" hidden="1" x14ac:dyDescent="0.25">
      <c r="A18" s="129">
        <f>'R9'!A23</f>
        <v>16</v>
      </c>
      <c r="B18" s="124">
        <f>'R9'!B23</f>
        <v>0</v>
      </c>
      <c r="C18" s="124"/>
      <c r="D18" s="125"/>
      <c r="E18" s="267" t="s">
        <v>180</v>
      </c>
      <c r="F18" s="255"/>
      <c r="G18" s="100">
        <f ca="1">IF(AND($L18="Yes",'R9'!$L23=9),'W9'!B369,IF(AND($L18="Yes",'R9'!$L23=11),'W9'!B395,IF(OR($L18="No",'R9'!L23=12),'W9'!B343)))</f>
        <v>0</v>
      </c>
      <c r="H18" s="100">
        <f ca="1">IF(AND($L18="Yes",'R9'!$L23=9),'W9'!D369,IF(AND($L18="Yes",'R9'!$L23=11),'W9'!D395,IF(OR($L18="No",'R9'!L23=12),'W9'!D343)))</f>
        <v>0</v>
      </c>
      <c r="I18" s="100">
        <f ca="1">IF(AND($L18="Yes",'R9'!$L23=9),'W9'!F369,IF(AND($L18="Yes",'R9'!$L23=11),'W9'!F395,IF(OR($L18="No",'R9'!L23=12),'W9'!F343)))</f>
        <v>0</v>
      </c>
      <c r="J18" s="100">
        <f ca="1">IF(AND($L18="Yes",'R9'!$L23=9),'W9'!H369,IF(AND($L18="Yes",'R9'!$L23=11),'W9'!H395,IF(OR($L18="No",'R9'!L23=12),'W9'!H343)))</f>
        <v>0</v>
      </c>
      <c r="K18" s="100">
        <f ca="1">IF(AND($L18="Yes",'R9'!$L23=9),'W9'!J369,IF(AND($L18="Yes",'R9'!$L23=11),'W9'!J395,IF(OR($L18="No",'R9'!L23=12),'W9'!J343)))</f>
        <v>0</v>
      </c>
      <c r="L18" s="245" t="s">
        <v>150</v>
      </c>
      <c r="M18" s="255"/>
      <c r="N18" s="128">
        <f ca="1">IF(G18=0,0,IF(G18="",0,'R9'!N23/(G18/'R9'!$L23)))</f>
        <v>0</v>
      </c>
      <c r="O18" s="128">
        <f ca="1">IF(H18=0,0,IF(H18="",0,'R9'!O23/(H18/'R9'!$L23)))</f>
        <v>0</v>
      </c>
      <c r="P18" s="128">
        <f ca="1">IF(I18=0,0,IF(I18="",0,'R9'!P23/(I18/'R9'!$L23)))</f>
        <v>0</v>
      </c>
      <c r="Q18" s="128">
        <f ca="1">IF(J18=0,0,IF(J18="",0,'R9'!Q23/(J18/'R9'!$L23)))</f>
        <v>0</v>
      </c>
      <c r="R18" s="128">
        <f ca="1">IF(K18=0,0,IF(K18="",0,'R9'!R23/(K18/'R9'!$L23)))</f>
        <v>0</v>
      </c>
      <c r="S18" s="51" t="str">
        <f>IF('R9'!K23="","CAL",'R9'!K23)</f>
        <v>CAL</v>
      </c>
      <c r="T18" s="255"/>
      <c r="U18" s="51" t="str">
        <f ca="1">IF(G18="","",IF('W9'!$L233="D","n/a",IF('W9'!B$247='W9'!C$247,"("&amp;ROUND('W9'!B263+'W9'!C263,2)&amp;")"&amp;ROUND('W9'!B$247*100,2),"("&amp;ROUND('W9'!B263,2)&amp;")"&amp;ROUND('W9'!B$247*100,2)&amp;"/ ("&amp;ROUND('W9'!C263,2)&amp;")"&amp;ROUND('W9'!C$247*100,2))))</f>
        <v>n/a</v>
      </c>
      <c r="V18" s="51" t="str">
        <f ca="1">IF(H18="","",IF('W9'!$L233="D","n/a",IF('W9'!D$247='W9'!E$247,"("&amp;ROUND('W9'!D263+'W9'!E263,2)&amp;")"&amp;ROUND('W9'!D$247*100,2),"("&amp;ROUND('W9'!D263,2)&amp;")"&amp;ROUND('W9'!D$247*100,2)&amp;"/ ("&amp;ROUND('W9'!E263,2)&amp;")"&amp;ROUND('W9'!E$247*100,2))))</f>
        <v>n/a</v>
      </c>
      <c r="W18" s="51" t="str">
        <f ca="1">IF(I18="","",IF('W9'!$L233="D","n/a",IF('W9'!F$247='W9'!G$247,"("&amp;ROUND('W9'!F263+'W9'!G263,2)&amp;")"&amp;ROUND('W9'!F$247*100,2),"("&amp;ROUND('W9'!F263,2)&amp;")"&amp;ROUND('W9'!F$247*100,2)&amp;"/ ("&amp;ROUND('W9'!G263,2)&amp;")"&amp;ROUND('W9'!G$247*100,2))))</f>
        <v>n/a</v>
      </c>
      <c r="X18" s="51" t="str">
        <f ca="1">IF(J18="","",IF('W9'!$L233="D","n/a",IF('W9'!H$247='W9'!I$247,"("&amp;ROUND('W9'!H263+'W9'!I263,2)&amp;")"&amp;ROUND('W9'!H$247*100,2),"("&amp;ROUND('W9'!H263,2)&amp;")"&amp;ROUND('W9'!H$247*100,2)&amp;"/ ("&amp;ROUND('W9'!I263,2)&amp;")"&amp;ROUND('W9'!I$247*100,2))))</f>
        <v>n/a</v>
      </c>
      <c r="Y18" s="51" t="str">
        <f ca="1">IF(K18="","",IF('W9'!$L233="D","n/a",IF('W9'!J$247='W9'!K$247,"("&amp;ROUND('W9'!J263+'W9'!K263,2)&amp;")"&amp;ROUND('W9'!J$247*100,2),"("&amp;ROUND('W9'!J263,2)&amp;")"&amp;ROUND('W9'!J$247*100,2)&amp;"/ ("&amp;ROUND('W9'!K263,2)&amp;")"&amp;ROUND('W9'!K$247*100,2))))</f>
        <v>n/a</v>
      </c>
    </row>
    <row r="19" spans="1:25" hidden="1" x14ac:dyDescent="0.25">
      <c r="A19" s="129">
        <f>'R9'!A24</f>
        <v>17</v>
      </c>
      <c r="B19" s="124">
        <f>'R9'!B24</f>
        <v>0</v>
      </c>
      <c r="C19" s="124"/>
      <c r="D19" s="125"/>
      <c r="E19" s="267" t="s">
        <v>180</v>
      </c>
      <c r="F19" s="255"/>
      <c r="G19" s="100">
        <f ca="1">IF(AND($L19="Yes",'R9'!$L24=9),'W9'!B370,IF(AND($L19="Yes",'R9'!$L24=11),'W9'!B396,IF(OR($L19="No",'R9'!L24=12),'W9'!B344)))</f>
        <v>0</v>
      </c>
      <c r="H19" s="100">
        <f ca="1">IF(AND($L19="Yes",'R9'!$L24=9),'W9'!D370,IF(AND($L19="Yes",'R9'!$L24=11),'W9'!D396,IF(OR($L19="No",'R9'!L24=12),'W9'!D344)))</f>
        <v>0</v>
      </c>
      <c r="I19" s="100">
        <f ca="1">IF(AND($L19="Yes",'R9'!$L24=9),'W9'!F370,IF(AND($L19="Yes",'R9'!$L24=11),'W9'!F396,IF(OR($L19="No",'R9'!L24=12),'W9'!F344)))</f>
        <v>0</v>
      </c>
      <c r="J19" s="100">
        <f ca="1">IF(AND($L19="Yes",'R9'!$L24=9),'W9'!H370,IF(AND($L19="Yes",'R9'!$L24=11),'W9'!H396,IF(OR($L19="No",'R9'!L24=12),'W9'!H344)))</f>
        <v>0</v>
      </c>
      <c r="K19" s="100">
        <f ca="1">IF(AND($L19="Yes",'R9'!$L24=9),'W9'!J370,IF(AND($L19="Yes",'R9'!$L24=11),'W9'!J396,IF(OR($L19="No",'R9'!L24=12),'W9'!J344)))</f>
        <v>0</v>
      </c>
      <c r="L19" s="245" t="s">
        <v>150</v>
      </c>
      <c r="M19" s="255"/>
      <c r="N19" s="128">
        <f ca="1">IF(G19=0,0,IF(G19="",0,'R9'!N24/(G19/'R9'!$L24)))</f>
        <v>0</v>
      </c>
      <c r="O19" s="128">
        <f ca="1">IF(H19=0,0,IF(H19="",0,'R9'!O24/(H19/'R9'!$L24)))</f>
        <v>0</v>
      </c>
      <c r="P19" s="128">
        <f ca="1">IF(I19=0,0,IF(I19="",0,'R9'!P24/(I19/'R9'!$L24)))</f>
        <v>0</v>
      </c>
      <c r="Q19" s="128">
        <f ca="1">IF(J19=0,0,IF(J19="",0,'R9'!Q24/(J19/'R9'!$L24)))</f>
        <v>0</v>
      </c>
      <c r="R19" s="128">
        <f ca="1">IF(K19=0,0,IF(K19="",0,'R9'!R24/(K19/'R9'!$L24)))</f>
        <v>0</v>
      </c>
      <c r="S19" s="51" t="str">
        <f>IF('R9'!K24="","CAL",'R9'!K24)</f>
        <v>CAL</v>
      </c>
      <c r="T19" s="255"/>
      <c r="U19" s="51" t="str">
        <f ca="1">IF(G19="","",IF('W9'!$L234="D","n/a",IF('W9'!B$247='W9'!C$247,"("&amp;ROUND('W9'!B264+'W9'!C264,2)&amp;")"&amp;ROUND('W9'!B$247*100,2),"("&amp;ROUND('W9'!B264,2)&amp;")"&amp;ROUND('W9'!B$247*100,2)&amp;"/ ("&amp;ROUND('W9'!C264,2)&amp;")"&amp;ROUND('W9'!C$247*100,2))))</f>
        <v>n/a</v>
      </c>
      <c r="V19" s="51" t="str">
        <f ca="1">IF(H19="","",IF('W9'!$L234="D","n/a",IF('W9'!D$247='W9'!E$247,"("&amp;ROUND('W9'!D264+'W9'!E264,2)&amp;")"&amp;ROUND('W9'!D$247*100,2),"("&amp;ROUND('W9'!D264,2)&amp;")"&amp;ROUND('W9'!D$247*100,2)&amp;"/ ("&amp;ROUND('W9'!E264,2)&amp;")"&amp;ROUND('W9'!E$247*100,2))))</f>
        <v>n/a</v>
      </c>
      <c r="W19" s="51" t="str">
        <f ca="1">IF(I19="","",IF('W9'!$L234="D","n/a",IF('W9'!F$247='W9'!G$247,"("&amp;ROUND('W9'!F264+'W9'!G264,2)&amp;")"&amp;ROUND('W9'!F$247*100,2),"("&amp;ROUND('W9'!F264,2)&amp;")"&amp;ROUND('W9'!F$247*100,2)&amp;"/ ("&amp;ROUND('W9'!G264,2)&amp;")"&amp;ROUND('W9'!G$247*100,2))))</f>
        <v>n/a</v>
      </c>
      <c r="X19" s="51" t="str">
        <f ca="1">IF(J19="","",IF('W9'!$L234="D","n/a",IF('W9'!H$247='W9'!I$247,"("&amp;ROUND('W9'!H264+'W9'!I264,2)&amp;")"&amp;ROUND('W9'!H$247*100,2),"("&amp;ROUND('W9'!H264,2)&amp;")"&amp;ROUND('W9'!H$247*100,2)&amp;"/ ("&amp;ROUND('W9'!I264,2)&amp;")"&amp;ROUND('W9'!I$247*100,2))))</f>
        <v>n/a</v>
      </c>
      <c r="Y19" s="51" t="str">
        <f ca="1">IF(K19="","",IF('W9'!$L234="D","n/a",IF('W9'!J$247='W9'!K$247,"("&amp;ROUND('W9'!J264+'W9'!K264,2)&amp;")"&amp;ROUND('W9'!J$247*100,2),"("&amp;ROUND('W9'!J264,2)&amp;")"&amp;ROUND('W9'!J$247*100,2)&amp;"/ ("&amp;ROUND('W9'!K264,2)&amp;")"&amp;ROUND('W9'!K$247*100,2))))</f>
        <v>n/a</v>
      </c>
    </row>
    <row r="20" spans="1:25" hidden="1" x14ac:dyDescent="0.25">
      <c r="A20" s="129">
        <f>'R9'!A25</f>
        <v>18</v>
      </c>
      <c r="B20" s="124">
        <f>'R9'!B25</f>
        <v>0</v>
      </c>
      <c r="C20" s="124"/>
      <c r="D20" s="125"/>
      <c r="E20" s="267" t="s">
        <v>180</v>
      </c>
      <c r="F20" s="255"/>
      <c r="G20" s="100">
        <f ca="1">IF(AND($L20="Yes",'R9'!$L25=9),'W9'!B371,IF(AND($L20="Yes",'R9'!$L25=11),'W9'!B397,IF(OR($L20="No",'R9'!L25=12),'W9'!B345)))</f>
        <v>0</v>
      </c>
      <c r="H20" s="100">
        <f ca="1">IF(AND($L20="Yes",'R9'!$L25=9),'W9'!D371,IF(AND($L20="Yes",'R9'!$L25=11),'W9'!D397,IF(OR($L20="No",'R9'!L25=12),'W9'!D345)))</f>
        <v>0</v>
      </c>
      <c r="I20" s="100">
        <f ca="1">IF(AND($L20="Yes",'R9'!$L25=9),'W9'!F371,IF(AND($L20="Yes",'R9'!$L25=11),'W9'!F397,IF(OR($L20="No",'R9'!L25=12),'W9'!F345)))</f>
        <v>0</v>
      </c>
      <c r="J20" s="100">
        <f ca="1">IF(AND($L20="Yes",'R9'!$L25=9),'W9'!H371,IF(AND($L20="Yes",'R9'!$L25=11),'W9'!H397,IF(OR($L20="No",'R9'!L25=12),'W9'!H345)))</f>
        <v>0</v>
      </c>
      <c r="K20" s="100">
        <f ca="1">IF(AND($L20="Yes",'R9'!$L25=9),'W9'!J371,IF(AND($L20="Yes",'R9'!$L25=11),'W9'!J397,IF(OR($L20="No",'R9'!L25=12),'W9'!J345)))</f>
        <v>0</v>
      </c>
      <c r="L20" s="245" t="s">
        <v>150</v>
      </c>
      <c r="M20" s="255"/>
      <c r="N20" s="128">
        <f ca="1">IF(G20=0,0,IF(G20="",0,'R9'!N25/(G20/'R9'!$L25)))</f>
        <v>0</v>
      </c>
      <c r="O20" s="128">
        <f ca="1">IF(H20=0,0,IF(H20="",0,'R9'!O25/(H20/'R9'!$L25)))</f>
        <v>0</v>
      </c>
      <c r="P20" s="128">
        <f ca="1">IF(I20=0,0,IF(I20="",0,'R9'!P25/(I20/'R9'!$L25)))</f>
        <v>0</v>
      </c>
      <c r="Q20" s="128">
        <f ca="1">IF(J20=0,0,IF(J20="",0,'R9'!Q25/(J20/'R9'!$L25)))</f>
        <v>0</v>
      </c>
      <c r="R20" s="128">
        <f ca="1">IF(K20=0,0,IF(K20="",0,'R9'!R25/(K20/'R9'!$L25)))</f>
        <v>0</v>
      </c>
      <c r="S20" s="51" t="str">
        <f>IF('R9'!K25="","CAL",'R9'!K25)</f>
        <v>CAL</v>
      </c>
      <c r="T20" s="255"/>
      <c r="U20" s="51" t="str">
        <f ca="1">IF(G20="","",IF('W9'!$L235="D","n/a",IF('W9'!B$247='W9'!C$247,"("&amp;ROUND('W9'!B265+'W9'!C265,2)&amp;")"&amp;ROUND('W9'!B$247*100,2),"("&amp;ROUND('W9'!B265,2)&amp;")"&amp;ROUND('W9'!B$247*100,2)&amp;"/ ("&amp;ROUND('W9'!C265,2)&amp;")"&amp;ROUND('W9'!C$247*100,2))))</f>
        <v>n/a</v>
      </c>
      <c r="V20" s="51" t="str">
        <f ca="1">IF(H20="","",IF('W9'!$L235="D","n/a",IF('W9'!D$247='W9'!E$247,"("&amp;ROUND('W9'!D265+'W9'!E265,2)&amp;")"&amp;ROUND('W9'!D$247*100,2),"("&amp;ROUND('W9'!D265,2)&amp;")"&amp;ROUND('W9'!D$247*100,2)&amp;"/ ("&amp;ROUND('W9'!E265,2)&amp;")"&amp;ROUND('W9'!E$247*100,2))))</f>
        <v>n/a</v>
      </c>
      <c r="W20" s="51" t="str">
        <f ca="1">IF(I20="","",IF('W9'!$L235="D","n/a",IF('W9'!F$247='W9'!G$247,"("&amp;ROUND('W9'!F265+'W9'!G265,2)&amp;")"&amp;ROUND('W9'!F$247*100,2),"("&amp;ROUND('W9'!F265,2)&amp;")"&amp;ROUND('W9'!F$247*100,2)&amp;"/ ("&amp;ROUND('W9'!G265,2)&amp;")"&amp;ROUND('W9'!G$247*100,2))))</f>
        <v>n/a</v>
      </c>
      <c r="X20" s="51" t="str">
        <f ca="1">IF(J20="","",IF('W9'!$L235="D","n/a",IF('W9'!H$247='W9'!I$247,"("&amp;ROUND('W9'!H265+'W9'!I265,2)&amp;")"&amp;ROUND('W9'!H$247*100,2),"("&amp;ROUND('W9'!H265,2)&amp;")"&amp;ROUND('W9'!H$247*100,2)&amp;"/ ("&amp;ROUND('W9'!I265,2)&amp;")"&amp;ROUND('W9'!I$247*100,2))))</f>
        <v>n/a</v>
      </c>
      <c r="Y20" s="51" t="str">
        <f ca="1">IF(K20="","",IF('W9'!$L235="D","n/a",IF('W9'!J$247='W9'!K$247,"("&amp;ROUND('W9'!J265+'W9'!K265,2)&amp;")"&amp;ROUND('W9'!J$247*100,2),"("&amp;ROUND('W9'!J265,2)&amp;")"&amp;ROUND('W9'!J$247*100,2)&amp;"/ ("&amp;ROUND('W9'!K265,2)&amp;")"&amp;ROUND('W9'!K$247*100,2))))</f>
        <v>n/a</v>
      </c>
    </row>
    <row r="21" spans="1:25" hidden="1" x14ac:dyDescent="0.25">
      <c r="A21" s="129">
        <f>'R9'!A26</f>
        <v>19</v>
      </c>
      <c r="B21" s="124">
        <f>'R9'!B26</f>
        <v>0</v>
      </c>
      <c r="C21" s="124"/>
      <c r="D21" s="125"/>
      <c r="E21" s="267" t="s">
        <v>180</v>
      </c>
      <c r="F21" s="255"/>
      <c r="G21" s="100">
        <f ca="1">IF(AND($L21="Yes",'R9'!$L26=9),'W9'!B372,IF(AND($L21="Yes",'R9'!$L26=11),'W9'!B398,IF(OR($L21="No",'R9'!L26=12),'W9'!B346)))</f>
        <v>0</v>
      </c>
      <c r="H21" s="100">
        <f ca="1">IF(AND($L21="Yes",'R9'!$L26=9),'W9'!D372,IF(AND($L21="Yes",'R9'!$L26=11),'W9'!D398,IF(OR($L21="No",'R9'!L26=12),'W9'!D346)))</f>
        <v>0</v>
      </c>
      <c r="I21" s="100">
        <f ca="1">IF(AND($L21="Yes",'R9'!$L26=9),'W9'!F372,IF(AND($L21="Yes",'R9'!$L26=11),'W9'!F398,IF(OR($L21="No",'R9'!L26=12),'W9'!F346)))</f>
        <v>0</v>
      </c>
      <c r="J21" s="100">
        <f ca="1">IF(AND($L21="Yes",'R9'!$L26=9),'W9'!H372,IF(AND($L21="Yes",'R9'!$L26=11),'W9'!H398,IF(OR($L21="No",'R9'!L26=12),'W9'!H346)))</f>
        <v>0</v>
      </c>
      <c r="K21" s="100">
        <f ca="1">IF(AND($L21="Yes",'R9'!$L26=9),'W9'!J372,IF(AND($L21="Yes",'R9'!$L26=11),'W9'!J398,IF(OR($L21="No",'R9'!L26=12),'W9'!J346)))</f>
        <v>0</v>
      </c>
      <c r="L21" s="245" t="s">
        <v>150</v>
      </c>
      <c r="M21" s="255"/>
      <c r="N21" s="128">
        <f ca="1">IF(G21=0,0,IF(G21="",0,'R9'!N26/(G21/'R9'!$L26)))</f>
        <v>0</v>
      </c>
      <c r="O21" s="128">
        <f ca="1">IF(H21=0,0,IF(H21="",0,'R9'!O26/(H21/'R9'!$L26)))</f>
        <v>0</v>
      </c>
      <c r="P21" s="128">
        <f ca="1">IF(I21=0,0,IF(I21="",0,'R9'!P26/(I21/'R9'!$L26)))</f>
        <v>0</v>
      </c>
      <c r="Q21" s="128">
        <f ca="1">IF(J21=0,0,IF(J21="",0,'R9'!Q26/(J21/'R9'!$L26)))</f>
        <v>0</v>
      </c>
      <c r="R21" s="128">
        <f ca="1">IF(K21=0,0,IF(K21="",0,'R9'!R26/(K21/'R9'!$L26)))</f>
        <v>0</v>
      </c>
      <c r="S21" s="51" t="str">
        <f>IF('R9'!K26="","CAL",'R9'!K26)</f>
        <v>CAL</v>
      </c>
      <c r="T21" s="255"/>
      <c r="U21" s="51" t="str">
        <f ca="1">IF(G21="","",IF('W9'!$L236="D","n/a",IF('W9'!B$247='W9'!C$247,"("&amp;ROUND('W9'!B266+'W9'!C266,2)&amp;")"&amp;ROUND('W9'!B$247*100,2),"("&amp;ROUND('W9'!B266,2)&amp;")"&amp;ROUND('W9'!B$247*100,2)&amp;"/ ("&amp;ROUND('W9'!C266,2)&amp;")"&amp;ROUND('W9'!C$247*100,2))))</f>
        <v>n/a</v>
      </c>
      <c r="V21" s="51" t="str">
        <f ca="1">IF(H21="","",IF('W9'!$L236="D","n/a",IF('W9'!D$247='W9'!E$247,"("&amp;ROUND('W9'!D266+'W9'!E266,2)&amp;")"&amp;ROUND('W9'!D$247*100,2),"("&amp;ROUND('W9'!D266,2)&amp;")"&amp;ROUND('W9'!D$247*100,2)&amp;"/ ("&amp;ROUND('W9'!E266,2)&amp;")"&amp;ROUND('W9'!E$247*100,2))))</f>
        <v>n/a</v>
      </c>
      <c r="W21" s="51" t="str">
        <f ca="1">IF(I21="","",IF('W9'!$L236="D","n/a",IF('W9'!F$247='W9'!G$247,"("&amp;ROUND('W9'!F266+'W9'!G266,2)&amp;")"&amp;ROUND('W9'!F$247*100,2),"("&amp;ROUND('W9'!F266,2)&amp;")"&amp;ROUND('W9'!F$247*100,2)&amp;"/ ("&amp;ROUND('W9'!G266,2)&amp;")"&amp;ROUND('W9'!G$247*100,2))))</f>
        <v>n/a</v>
      </c>
      <c r="X21" s="51" t="str">
        <f ca="1">IF(J21="","",IF('W9'!$L236="D","n/a",IF('W9'!H$247='W9'!I$247,"("&amp;ROUND('W9'!H266+'W9'!I266,2)&amp;")"&amp;ROUND('W9'!H$247*100,2),"("&amp;ROUND('W9'!H266,2)&amp;")"&amp;ROUND('W9'!H$247*100,2)&amp;"/ ("&amp;ROUND('W9'!I266,2)&amp;")"&amp;ROUND('W9'!I$247*100,2))))</f>
        <v>n/a</v>
      </c>
      <c r="Y21" s="51" t="str">
        <f ca="1">IF(K21="","",IF('W9'!$L236="D","n/a",IF('W9'!J$247='W9'!K$247,"("&amp;ROUND('W9'!J266+'W9'!K266,2)&amp;")"&amp;ROUND('W9'!J$247*100,2),"("&amp;ROUND('W9'!J266,2)&amp;")"&amp;ROUND('W9'!J$247*100,2)&amp;"/ ("&amp;ROUND('W9'!K266,2)&amp;")"&amp;ROUND('W9'!K$247*100,2))))</f>
        <v>n/a</v>
      </c>
    </row>
    <row r="22" spans="1:25" hidden="1" x14ac:dyDescent="0.25">
      <c r="A22" s="129">
        <f>'R9'!A27</f>
        <v>20</v>
      </c>
      <c r="B22" s="124">
        <f>'R9'!B27</f>
        <v>0</v>
      </c>
      <c r="C22" s="124"/>
      <c r="D22" s="125"/>
      <c r="E22" s="267" t="s">
        <v>180</v>
      </c>
      <c r="F22" s="255"/>
      <c r="G22" s="100">
        <f ca="1">IF(AND($L22="Yes",'R9'!$L27=9),'W9'!B373,IF(AND($L22="Yes",'R9'!$L27=11),'W9'!B399,IF(OR($L22="No",'R9'!L27=12),'W9'!B347)))</f>
        <v>0</v>
      </c>
      <c r="H22" s="100">
        <f ca="1">IF(AND($L22="Yes",'R9'!$L27=9),'W9'!D373,IF(AND($L22="Yes",'R9'!$L27=11),'W9'!D399,IF(OR($L22="No",'R9'!L27=12),'W9'!D347)))</f>
        <v>0</v>
      </c>
      <c r="I22" s="100">
        <f ca="1">IF(AND($L22="Yes",'R9'!$L27=9),'W9'!F373,IF(AND($L22="Yes",'R9'!$L27=11),'W9'!F399,IF(OR($L22="No",'R9'!L27=12),'W9'!F347)))</f>
        <v>0</v>
      </c>
      <c r="J22" s="100">
        <f ca="1">IF(AND($L22="Yes",'R9'!$L27=9),'W9'!H373,IF(AND($L22="Yes",'R9'!$L27=11),'W9'!H399,IF(OR($L22="No",'R9'!L27=12),'W9'!H347)))</f>
        <v>0</v>
      </c>
      <c r="K22" s="100">
        <f ca="1">IF(AND($L22="Yes",'R9'!$L27=9),'W9'!J373,IF(AND($L22="Yes",'R9'!$L27=11),'W9'!J399,IF(OR($L22="No",'R9'!L27=12),'W9'!J347)))</f>
        <v>0</v>
      </c>
      <c r="L22" s="245" t="s">
        <v>150</v>
      </c>
      <c r="M22" s="255"/>
      <c r="N22" s="128">
        <f ca="1">IF(G22=0,0,IF(G22="",0,'R9'!N27/(G22/'R9'!$L27)))</f>
        <v>0</v>
      </c>
      <c r="O22" s="128">
        <f ca="1">IF(H22=0,0,IF(H22="",0,'R9'!O27/(H22/'R9'!$L27)))</f>
        <v>0</v>
      </c>
      <c r="P22" s="128">
        <f ca="1">IF(I22=0,0,IF(I22="",0,'R9'!P27/(I22/'R9'!$L27)))</f>
        <v>0</v>
      </c>
      <c r="Q22" s="128">
        <f ca="1">IF(J22=0,0,IF(J22="",0,'R9'!Q27/(J22/'R9'!$L27)))</f>
        <v>0</v>
      </c>
      <c r="R22" s="128">
        <f ca="1">IF(K22=0,0,IF(K22="",0,'R9'!R27/(K22/'R9'!$L27)))</f>
        <v>0</v>
      </c>
      <c r="S22" s="51" t="str">
        <f>IF('R9'!K27="","CAL",'R9'!K27)</f>
        <v>CAL</v>
      </c>
      <c r="T22" s="255"/>
      <c r="U22" s="51" t="str">
        <f ca="1">IF(G22="","",IF('W9'!$L237="D","n/a",IF('W9'!B$247='W9'!C$247,"("&amp;ROUND('W9'!B267+'W9'!C267,2)&amp;")"&amp;ROUND('W9'!B$247*100,2),"("&amp;ROUND('W9'!B267,2)&amp;")"&amp;ROUND('W9'!B$247*100,2)&amp;"/ ("&amp;ROUND('W9'!C267,2)&amp;")"&amp;ROUND('W9'!C$247*100,2))))</f>
        <v>n/a</v>
      </c>
      <c r="V22" s="51" t="str">
        <f ca="1">IF(H22="","",IF('W9'!$L237="D","n/a",IF('W9'!D$247='W9'!E$247,"("&amp;ROUND('W9'!D267+'W9'!E267,2)&amp;")"&amp;ROUND('W9'!D$247*100,2),"("&amp;ROUND('W9'!D267,2)&amp;")"&amp;ROUND('W9'!D$247*100,2)&amp;"/ ("&amp;ROUND('W9'!E267,2)&amp;")"&amp;ROUND('W9'!E$247*100,2))))</f>
        <v>n/a</v>
      </c>
      <c r="W22" s="51" t="str">
        <f ca="1">IF(I22="","",IF('W9'!$L237="D","n/a",IF('W9'!F$247='W9'!G$247,"("&amp;ROUND('W9'!F267+'W9'!G267,2)&amp;")"&amp;ROUND('W9'!F$247*100,2),"("&amp;ROUND('W9'!F267,2)&amp;")"&amp;ROUND('W9'!F$247*100,2)&amp;"/ ("&amp;ROUND('W9'!G267,2)&amp;")"&amp;ROUND('W9'!G$247*100,2))))</f>
        <v>n/a</v>
      </c>
      <c r="X22" s="51" t="str">
        <f ca="1">IF(J22="","",IF('W9'!$L237="D","n/a",IF('W9'!H$247='W9'!I$247,"("&amp;ROUND('W9'!H267+'W9'!I267,2)&amp;")"&amp;ROUND('W9'!H$247*100,2),"("&amp;ROUND('W9'!H267,2)&amp;")"&amp;ROUND('W9'!H$247*100,2)&amp;"/ ("&amp;ROUND('W9'!I267,2)&amp;")"&amp;ROUND('W9'!I$247*100,2))))</f>
        <v>n/a</v>
      </c>
      <c r="Y22" s="51" t="str">
        <f ca="1">IF(K22="","",IF('W9'!$L237="D","n/a",IF('W9'!J$247='W9'!K$247,"("&amp;ROUND('W9'!J267+'W9'!K267,2)&amp;")"&amp;ROUND('W9'!J$247*100,2),"("&amp;ROUND('W9'!J267,2)&amp;")"&amp;ROUND('W9'!J$247*100,2)&amp;"/ ("&amp;ROUND('W9'!K267,2)&amp;")"&amp;ROUND('W9'!K$247*100,2))))</f>
        <v>n/a</v>
      </c>
    </row>
    <row r="23" spans="1:25" hidden="1" x14ac:dyDescent="0.25">
      <c r="A23" s="129">
        <f>'R9'!A28</f>
        <v>21</v>
      </c>
      <c r="B23" s="124">
        <f>'R9'!B28</f>
        <v>0</v>
      </c>
      <c r="C23" s="124"/>
      <c r="D23" s="125"/>
      <c r="E23" s="267" t="s">
        <v>180</v>
      </c>
      <c r="F23" s="255"/>
      <c r="G23" s="100">
        <f ca="1">IF(AND($L23="Yes",'R9'!$L28=9),'W9'!B374,IF(AND($L23="Yes",'R9'!$L28=11),'W9'!B400,IF(OR($L23="No",'R9'!L28=12),'W9'!B348)))</f>
        <v>0</v>
      </c>
      <c r="H23" s="100">
        <f ca="1">IF(AND($L23="Yes",'R9'!$L28=9),'W9'!D374,IF(AND($L23="Yes",'R9'!$L28=11),'W9'!D400,IF(OR($L23="No",'R9'!L28=12),'W9'!D348)))</f>
        <v>0</v>
      </c>
      <c r="I23" s="100">
        <f ca="1">IF(AND($L23="Yes",'R9'!$L28=9),'W9'!F374,IF(AND($L23="Yes",'R9'!$L28=11),'W9'!F400,IF(OR($L23="No",'R9'!L28=12),'W9'!F348)))</f>
        <v>0</v>
      </c>
      <c r="J23" s="100">
        <f ca="1">IF(AND($L23="Yes",'R9'!$L28=9),'W9'!H374,IF(AND($L23="Yes",'R9'!$L28=11),'W9'!H400,IF(OR($L23="No",'R9'!L28=12),'W9'!H348)))</f>
        <v>0</v>
      </c>
      <c r="K23" s="100">
        <f ca="1">IF(AND($L23="Yes",'R9'!$L28=9),'W9'!J374,IF(AND($L23="Yes",'R9'!$L28=11),'W9'!J400,IF(OR($L23="No",'R9'!L28=12),'W9'!J348)))</f>
        <v>0</v>
      </c>
      <c r="L23" s="245" t="s">
        <v>150</v>
      </c>
      <c r="M23" s="255"/>
      <c r="N23" s="128">
        <f ca="1">IF(G23=0,0,IF(G23="",0,'R9'!N28/(G23/'R9'!$L28)))</f>
        <v>0</v>
      </c>
      <c r="O23" s="128">
        <f ca="1">IF(H23=0,0,IF(H23="",0,'R9'!O28/(H23/'R9'!$L28)))</f>
        <v>0</v>
      </c>
      <c r="P23" s="128">
        <f ca="1">IF(I23=0,0,IF(I23="",0,'R9'!P28/(I23/'R9'!$L28)))</f>
        <v>0</v>
      </c>
      <c r="Q23" s="128">
        <f ca="1">IF(J23=0,0,IF(J23="",0,'R9'!Q28/(J23/'R9'!$L28)))</f>
        <v>0</v>
      </c>
      <c r="R23" s="128">
        <f ca="1">IF(K23=0,0,IF(K23="",0,'R9'!R28/(K23/'R9'!$L28)))</f>
        <v>0</v>
      </c>
      <c r="S23" s="51" t="str">
        <f>IF('R9'!K28="","CAL",'R9'!K28)</f>
        <v>CAL</v>
      </c>
      <c r="T23" s="255"/>
      <c r="U23" s="51" t="str">
        <f ca="1">IF(G23="","",IF('W9'!$L238="D","n/a",IF('W9'!B$247='W9'!C$247,"("&amp;ROUND('W9'!B268+'W9'!C268,2)&amp;")"&amp;ROUND('W9'!B$247*100,2),"("&amp;ROUND('W9'!B268,2)&amp;")"&amp;ROUND('W9'!B$247*100,2)&amp;"/ ("&amp;ROUND('W9'!C268,2)&amp;")"&amp;ROUND('W9'!C$247*100,2))))</f>
        <v>n/a</v>
      </c>
      <c r="V23" s="51" t="str">
        <f ca="1">IF(H23="","",IF('W9'!$L238="D","n/a",IF('W9'!D$247='W9'!E$247,"("&amp;ROUND('W9'!D268+'W9'!E268,2)&amp;")"&amp;ROUND('W9'!D$247*100,2),"("&amp;ROUND('W9'!D268,2)&amp;")"&amp;ROUND('W9'!D$247*100,2)&amp;"/ ("&amp;ROUND('W9'!E268,2)&amp;")"&amp;ROUND('W9'!E$247*100,2))))</f>
        <v>n/a</v>
      </c>
      <c r="W23" s="51" t="str">
        <f ca="1">IF(I23="","",IF('W9'!$L238="D","n/a",IF('W9'!F$247='W9'!G$247,"("&amp;ROUND('W9'!F268+'W9'!G268,2)&amp;")"&amp;ROUND('W9'!F$247*100,2),"("&amp;ROUND('W9'!F268,2)&amp;")"&amp;ROUND('W9'!F$247*100,2)&amp;"/ ("&amp;ROUND('W9'!G268,2)&amp;")"&amp;ROUND('W9'!G$247*100,2))))</f>
        <v>n/a</v>
      </c>
      <c r="X23" s="51" t="str">
        <f ca="1">IF(J23="","",IF('W9'!$L238="D","n/a",IF('W9'!H$247='W9'!I$247,"("&amp;ROUND('W9'!H268+'W9'!I268,2)&amp;")"&amp;ROUND('W9'!H$247*100,2),"("&amp;ROUND('W9'!H268,2)&amp;")"&amp;ROUND('W9'!H$247*100,2)&amp;"/ ("&amp;ROUND('W9'!I268,2)&amp;")"&amp;ROUND('W9'!I$247*100,2))))</f>
        <v>n/a</v>
      </c>
      <c r="Y23" s="51" t="str">
        <f ca="1">IF(K23="","",IF('W9'!$L238="D","n/a",IF('W9'!J$247='W9'!K$247,"("&amp;ROUND('W9'!J268+'W9'!K268,2)&amp;")"&amp;ROUND('W9'!J$247*100,2),"("&amp;ROUND('W9'!J268,2)&amp;")"&amp;ROUND('W9'!J$247*100,2)&amp;"/ ("&amp;ROUND('W9'!K268,2)&amp;")"&amp;ROUND('W9'!K$247*100,2))))</f>
        <v>n/a</v>
      </c>
    </row>
    <row r="24" spans="1:25" hidden="1" x14ac:dyDescent="0.25">
      <c r="A24" s="129">
        <f>'R9'!A29</f>
        <v>22</v>
      </c>
      <c r="B24" s="124">
        <f>'R9'!B29</f>
        <v>0</v>
      </c>
      <c r="C24" s="124"/>
      <c r="D24" s="125"/>
      <c r="E24" s="267" t="s">
        <v>180</v>
      </c>
      <c r="F24" s="255"/>
      <c r="G24" s="100">
        <f ca="1">IF(AND($L24="Yes",'R9'!$L29=9),'W9'!B375,IF(AND($L24="Yes",'R9'!$L29=11),'W9'!B401,IF(OR($L24="No",'R9'!L29=12),'W9'!B349)))</f>
        <v>0</v>
      </c>
      <c r="H24" s="100">
        <f ca="1">IF(AND($L24="Yes",'R9'!$L29=9),'W9'!D375,IF(AND($L24="Yes",'R9'!$L29=11),'W9'!D401,IF(OR($L24="No",'R9'!L29=12),'W9'!D349)))</f>
        <v>0</v>
      </c>
      <c r="I24" s="100">
        <f ca="1">IF(AND($L24="Yes",'R9'!$L29=9),'W9'!F375,IF(AND($L24="Yes",'R9'!$L29=11),'W9'!F401,IF(OR($L24="No",'R9'!L29=12),'W9'!F349)))</f>
        <v>0</v>
      </c>
      <c r="J24" s="100">
        <f ca="1">IF(AND($L24="Yes",'R9'!$L29=9),'W9'!H375,IF(AND($L24="Yes",'R9'!$L29=11),'W9'!H401,IF(OR($L24="No",'R9'!L29=12),'W9'!H349)))</f>
        <v>0</v>
      </c>
      <c r="K24" s="100">
        <f ca="1">IF(AND($L24="Yes",'R9'!$L29=9),'W9'!J375,IF(AND($L24="Yes",'R9'!$L29=11),'W9'!J401,IF(OR($L24="No",'R9'!L29=12),'W9'!J349)))</f>
        <v>0</v>
      </c>
      <c r="L24" s="245" t="s">
        <v>150</v>
      </c>
      <c r="M24" s="255"/>
      <c r="N24" s="128">
        <f ca="1">IF(G24=0,0,IF(G24="",0,'R9'!N29/(G24/'R9'!$L29)))</f>
        <v>0</v>
      </c>
      <c r="O24" s="128">
        <f ca="1">IF(H24=0,0,IF(H24="",0,'R9'!O29/(H24/'R9'!$L29)))</f>
        <v>0</v>
      </c>
      <c r="P24" s="128">
        <f ca="1">IF(I24=0,0,IF(I24="",0,'R9'!P29/(I24/'R9'!$L29)))</f>
        <v>0</v>
      </c>
      <c r="Q24" s="128">
        <f ca="1">IF(J24=0,0,IF(J24="",0,'R9'!Q29/(J24/'R9'!$L29)))</f>
        <v>0</v>
      </c>
      <c r="R24" s="128">
        <f ca="1">IF(K24=0,0,IF(K24="",0,'R9'!R29/(K24/'R9'!$L29)))</f>
        <v>0</v>
      </c>
      <c r="S24" s="51" t="str">
        <f>IF('R9'!K29="","CAL",'R9'!K29)</f>
        <v>CAL</v>
      </c>
      <c r="T24" s="255"/>
      <c r="U24" s="51" t="str">
        <f ca="1">IF(G24="","",IF('W9'!$L239="D","n/a",IF('W9'!B$247='W9'!C$247,"("&amp;ROUND('W9'!B269+'W9'!C269,2)&amp;")"&amp;ROUND('W9'!B$247*100,2),"("&amp;ROUND('W9'!B269,2)&amp;")"&amp;ROUND('W9'!B$247*100,2)&amp;"/ ("&amp;ROUND('W9'!C269,2)&amp;")"&amp;ROUND('W9'!C$247*100,2))))</f>
        <v>n/a</v>
      </c>
      <c r="V24" s="51" t="str">
        <f ca="1">IF(H24="","",IF('W9'!$L239="D","n/a",IF('W9'!D$247='W9'!E$247,"("&amp;ROUND('W9'!D269+'W9'!E269,2)&amp;")"&amp;ROUND('W9'!D$247*100,2),"("&amp;ROUND('W9'!D269,2)&amp;")"&amp;ROUND('W9'!D$247*100,2)&amp;"/ ("&amp;ROUND('W9'!E269,2)&amp;")"&amp;ROUND('W9'!E$247*100,2))))</f>
        <v>n/a</v>
      </c>
      <c r="W24" s="51" t="str">
        <f ca="1">IF(I24="","",IF('W9'!$L239="D","n/a",IF('W9'!F$247='W9'!G$247,"("&amp;ROUND('W9'!F269+'W9'!G269,2)&amp;")"&amp;ROUND('W9'!F$247*100,2),"("&amp;ROUND('W9'!F269,2)&amp;")"&amp;ROUND('W9'!F$247*100,2)&amp;"/ ("&amp;ROUND('W9'!G269,2)&amp;")"&amp;ROUND('W9'!G$247*100,2))))</f>
        <v>n/a</v>
      </c>
      <c r="X24" s="51" t="str">
        <f ca="1">IF(J24="","",IF('W9'!$L239="D","n/a",IF('W9'!H$247='W9'!I$247,"("&amp;ROUND('W9'!H269+'W9'!I269,2)&amp;")"&amp;ROUND('W9'!H$247*100,2),"("&amp;ROUND('W9'!H269,2)&amp;")"&amp;ROUND('W9'!H$247*100,2)&amp;"/ ("&amp;ROUND('W9'!I269,2)&amp;")"&amp;ROUND('W9'!I$247*100,2))))</f>
        <v>n/a</v>
      </c>
      <c r="Y24" s="51" t="str">
        <f ca="1">IF(K24="","",IF('W9'!$L239="D","n/a",IF('W9'!J$247='W9'!K$247,"("&amp;ROUND('W9'!J269+'W9'!K269,2)&amp;")"&amp;ROUND('W9'!J$247*100,2),"("&amp;ROUND('W9'!J269,2)&amp;")"&amp;ROUND('W9'!J$247*100,2)&amp;"/ ("&amp;ROUND('W9'!K269,2)&amp;")"&amp;ROUND('W9'!K$247*100,2))))</f>
        <v>n/a</v>
      </c>
    </row>
    <row r="25" spans="1:25" hidden="1" x14ac:dyDescent="0.25">
      <c r="A25" s="129">
        <f>'R9'!A30</f>
        <v>23</v>
      </c>
      <c r="B25" s="124">
        <f>'R9'!B30</f>
        <v>0</v>
      </c>
      <c r="C25" s="124"/>
      <c r="D25" s="125"/>
      <c r="E25" s="267" t="s">
        <v>180</v>
      </c>
      <c r="F25" s="255"/>
      <c r="G25" s="100">
        <f ca="1">IF(AND($L25="Yes",'R9'!$L30=9),'W9'!B376,IF(AND($L25="Yes",'R9'!$L30=11),'W9'!B402,IF(OR($L25="No",'R9'!L30=12),'W9'!B350)))</f>
        <v>0</v>
      </c>
      <c r="H25" s="100">
        <f ca="1">IF(AND($L25="Yes",'R9'!$L30=9),'W9'!D376,IF(AND($L25="Yes",'R9'!$L30=11),'W9'!D402,IF(OR($L25="No",'R9'!L30=12),'W9'!D350)))</f>
        <v>0</v>
      </c>
      <c r="I25" s="100">
        <f ca="1">IF(AND($L25="Yes",'R9'!$L30=9),'W9'!F376,IF(AND($L25="Yes",'R9'!$L30=11),'W9'!F402,IF(OR($L25="No",'R9'!L30=12),'W9'!F350)))</f>
        <v>0</v>
      </c>
      <c r="J25" s="100">
        <f ca="1">IF(AND($L25="Yes",'R9'!$L30=9),'W9'!H376,IF(AND($L25="Yes",'R9'!$L30=11),'W9'!H402,IF(OR($L25="No",'R9'!L30=12),'W9'!H350)))</f>
        <v>0</v>
      </c>
      <c r="K25" s="100">
        <f ca="1">IF(AND($L25="Yes",'R9'!$L30=9),'W9'!J376,IF(AND($L25="Yes",'R9'!$L30=11),'W9'!J402,IF(OR($L25="No",'R9'!L30=12),'W9'!J350)))</f>
        <v>0</v>
      </c>
      <c r="L25" s="245" t="s">
        <v>150</v>
      </c>
      <c r="M25" s="255"/>
      <c r="N25" s="128">
        <f ca="1">IF(G25=0,0,IF(G25="",0,'R9'!N30/(G25/'R9'!$L30)))</f>
        <v>0</v>
      </c>
      <c r="O25" s="128">
        <f ca="1">IF(H25=0,0,IF(H25="",0,'R9'!O30/(H25/'R9'!$L30)))</f>
        <v>0</v>
      </c>
      <c r="P25" s="128">
        <f ca="1">IF(I25=0,0,IF(I25="",0,'R9'!P30/(I25/'R9'!$L30)))</f>
        <v>0</v>
      </c>
      <c r="Q25" s="128">
        <f ca="1">IF(J25=0,0,IF(J25="",0,'R9'!Q30/(J25/'R9'!$L30)))</f>
        <v>0</v>
      </c>
      <c r="R25" s="128">
        <f ca="1">IF(K25=0,0,IF(K25="",0,'R9'!R30/(K25/'R9'!$L30)))</f>
        <v>0</v>
      </c>
      <c r="S25" s="51" t="str">
        <f>IF('R9'!K30="","CAL",'R9'!K30)</f>
        <v>CAL</v>
      </c>
      <c r="T25" s="255"/>
      <c r="U25" s="51" t="str">
        <f ca="1">IF(G25="","",IF('W9'!$L240="D","n/a",IF('W9'!B$247='W9'!C$247,"("&amp;ROUND('W9'!B270+'W9'!C270,2)&amp;")"&amp;ROUND('W9'!B$247*100,2),"("&amp;ROUND('W9'!B270,2)&amp;")"&amp;ROUND('W9'!B$247*100,2)&amp;"/ ("&amp;ROUND('W9'!C270,2)&amp;")"&amp;ROUND('W9'!C$247*100,2))))</f>
        <v>n/a</v>
      </c>
      <c r="V25" s="51" t="str">
        <f ca="1">IF(H25="","",IF('W9'!$L240="D","n/a",IF('W9'!D$247='W9'!E$247,"("&amp;ROUND('W9'!D270+'W9'!E270,2)&amp;")"&amp;ROUND('W9'!D$247*100,2),"("&amp;ROUND('W9'!D270,2)&amp;")"&amp;ROUND('W9'!D$247*100,2)&amp;"/ ("&amp;ROUND('W9'!E270,2)&amp;")"&amp;ROUND('W9'!E$247*100,2))))</f>
        <v>n/a</v>
      </c>
      <c r="W25" s="51" t="str">
        <f ca="1">IF(I25="","",IF('W9'!$L240="D","n/a",IF('W9'!F$247='W9'!G$247,"("&amp;ROUND('W9'!F270+'W9'!G270,2)&amp;")"&amp;ROUND('W9'!F$247*100,2),"("&amp;ROUND('W9'!F270,2)&amp;")"&amp;ROUND('W9'!F$247*100,2)&amp;"/ ("&amp;ROUND('W9'!G270,2)&amp;")"&amp;ROUND('W9'!G$247*100,2))))</f>
        <v>n/a</v>
      </c>
      <c r="X25" s="51" t="str">
        <f ca="1">IF(J25="","",IF('W9'!$L240="D","n/a",IF('W9'!H$247='W9'!I$247,"("&amp;ROUND('W9'!H270+'W9'!I270,2)&amp;")"&amp;ROUND('W9'!H$247*100,2),"("&amp;ROUND('W9'!H270,2)&amp;")"&amp;ROUND('W9'!H$247*100,2)&amp;"/ ("&amp;ROUND('W9'!I270,2)&amp;")"&amp;ROUND('W9'!I$247*100,2))))</f>
        <v>n/a</v>
      </c>
      <c r="Y25" s="51" t="str">
        <f ca="1">IF(K25="","",IF('W9'!$L240="D","n/a",IF('W9'!J$247='W9'!K$247,"("&amp;ROUND('W9'!J270+'W9'!K270,2)&amp;")"&amp;ROUND('W9'!J$247*100,2),"("&amp;ROUND('W9'!J270,2)&amp;")"&amp;ROUND('W9'!J$247*100,2)&amp;"/ ("&amp;ROUND('W9'!K270,2)&amp;")"&amp;ROUND('W9'!K$247*100,2))))</f>
        <v>n/a</v>
      </c>
    </row>
    <row r="26" spans="1:25" hidden="1" x14ac:dyDescent="0.25">
      <c r="A26" s="129">
        <f>'R9'!A31</f>
        <v>24</v>
      </c>
      <c r="B26" s="124">
        <f>'R9'!B31</f>
        <v>0</v>
      </c>
      <c r="C26" s="124"/>
      <c r="D26" s="125"/>
      <c r="E26" s="267" t="s">
        <v>180</v>
      </c>
      <c r="F26" s="256"/>
      <c r="G26" s="100">
        <f ca="1">IF(AND($L26="Yes",'R9'!$L31=9),'W9'!B377,IF(AND($L26="Yes",'R9'!$L31=11),'W9'!B403,IF(OR($L26="No",'R9'!L31=12),'W9'!B351)))</f>
        <v>0</v>
      </c>
      <c r="H26" s="100">
        <f ca="1">IF(AND($L26="Yes",'R9'!$L31=9),'W9'!D377,IF(AND($L26="Yes",'R9'!$L31=11),'W9'!D403,IF(OR($L26="No",'R9'!L31=12),'W9'!D351)))</f>
        <v>0</v>
      </c>
      <c r="I26" s="100">
        <f ca="1">IF(AND($L26="Yes",'R9'!$L31=9),'W9'!F377,IF(AND($L26="Yes",'R9'!$L31=11),'W9'!F403,IF(OR($L26="No",'R9'!L31=12),'W9'!F351)))</f>
        <v>0</v>
      </c>
      <c r="J26" s="100">
        <f ca="1">IF(AND($L26="Yes",'R9'!$L31=9),'W9'!H377,IF(AND($L26="Yes",'R9'!$L31=11),'W9'!H403,IF(OR($L26="No",'R9'!L31=12),'W9'!H351)))</f>
        <v>0</v>
      </c>
      <c r="K26" s="100">
        <f ca="1">IF(AND($L26="Yes",'R9'!$L31=9),'W9'!J377,IF(AND($L26="Yes",'R9'!$L31=11),'W9'!J403,IF(OR($L26="No",'R9'!L31=12),'W9'!J351)))</f>
        <v>0</v>
      </c>
      <c r="L26" s="245" t="s">
        <v>150</v>
      </c>
      <c r="M26" s="256"/>
      <c r="N26" s="128">
        <f ca="1">IF(G26=0,0,IF(G26="",0,'R9'!N31/(G26/'R9'!$L31)))</f>
        <v>0</v>
      </c>
      <c r="O26" s="128">
        <f ca="1">IF(H26=0,0,IF(H26="",0,'R9'!O31/(H26/'R9'!$L31)))</f>
        <v>0</v>
      </c>
      <c r="P26" s="128">
        <f ca="1">IF(I26=0,0,IF(I26="",0,'R9'!P31/(I26/'R9'!$L31)))</f>
        <v>0</v>
      </c>
      <c r="Q26" s="128">
        <f ca="1">IF(J26=0,0,IF(J26="",0,'R9'!Q31/(J26/'R9'!$L31)))</f>
        <v>0</v>
      </c>
      <c r="R26" s="128">
        <f ca="1">IF(K26=0,0,IF(K26="",0,'R9'!R31/(K26/'R9'!$L31)))</f>
        <v>0</v>
      </c>
      <c r="S26" s="51" t="str">
        <f>IF('R9'!K31="","CAL",'R9'!K31)</f>
        <v>CAL</v>
      </c>
      <c r="T26" s="256"/>
      <c r="U26" s="51" t="str">
        <f ca="1">IF(G26="","",IF('W9'!$L241="D","n/a",IF('W9'!B$247='W9'!C$247,"("&amp;ROUND('W9'!B271+'W9'!C271,2)&amp;")"&amp;ROUND('W9'!B$247*100,2),"("&amp;ROUND('W9'!B271,2)&amp;")"&amp;ROUND('W9'!B$247*100,2)&amp;"/ ("&amp;ROUND('W9'!C271,2)&amp;")"&amp;ROUND('W9'!C$247*100,2))))</f>
        <v>n/a</v>
      </c>
      <c r="V26" s="51" t="str">
        <f ca="1">IF(H26="","",IF('W9'!$L241="D","n/a",IF('W9'!D$247='W9'!E$247,"("&amp;ROUND('W9'!D271+'W9'!E271,2)&amp;")"&amp;ROUND('W9'!D$247*100,2),"("&amp;ROUND('W9'!D271,2)&amp;")"&amp;ROUND('W9'!D$247*100,2)&amp;"/ ("&amp;ROUND('W9'!E271,2)&amp;")"&amp;ROUND('W9'!E$247*100,2))))</f>
        <v>n/a</v>
      </c>
      <c r="W26" s="51" t="str">
        <f ca="1">IF(I26="","",IF('W9'!$L241="D","n/a",IF('W9'!F$247='W9'!G$247,"("&amp;ROUND('W9'!F271+'W9'!G271,2)&amp;")"&amp;ROUND('W9'!F$247*100,2),"("&amp;ROUND('W9'!F271,2)&amp;")"&amp;ROUND('W9'!F$247*100,2)&amp;"/ ("&amp;ROUND('W9'!G271,2)&amp;")"&amp;ROUND('W9'!G$247*100,2))))</f>
        <v>n/a</v>
      </c>
      <c r="X26" s="51" t="str">
        <f ca="1">IF(J26="","",IF('W9'!$L241="D","n/a",IF('W9'!H$247='W9'!I$247,"("&amp;ROUND('W9'!H271+'W9'!I271,2)&amp;")"&amp;ROUND('W9'!H$247*100,2),"("&amp;ROUND('W9'!H271,2)&amp;")"&amp;ROUND('W9'!H$247*100,2)&amp;"/ ("&amp;ROUND('W9'!I271,2)&amp;")"&amp;ROUND('W9'!I$247*100,2))))</f>
        <v>n/a</v>
      </c>
      <c r="Y26" s="51" t="str">
        <f ca="1">IF(K26="","",IF('W9'!$L241="D","n/a",IF('W9'!J$247='W9'!K$247,"("&amp;ROUND('W9'!J271+'W9'!K271,2)&amp;")"&amp;ROUND('W9'!J$247*100,2),"("&amp;ROUND('W9'!J271,2)&amp;")"&amp;ROUND('W9'!J$247*100,2)&amp;"/ ("&amp;ROUND('W9'!K271,2)&amp;")"&amp;ROUND('W9'!K$247*100,2))))</f>
        <v>n/a</v>
      </c>
    </row>
    <row r="27" spans="1:25" x14ac:dyDescent="0.25">
      <c r="A27" s="52"/>
      <c r="B27" s="138"/>
      <c r="C27" s="138"/>
      <c r="D27" s="138"/>
      <c r="E27" s="138"/>
      <c r="F27" s="139"/>
      <c r="G27" s="140"/>
      <c r="H27" s="140"/>
      <c r="I27" s="140"/>
      <c r="J27" s="140"/>
      <c r="K27" s="140"/>
      <c r="L27" s="141"/>
      <c r="M27" s="139"/>
      <c r="N27" s="142"/>
      <c r="O27" s="142"/>
      <c r="P27" s="142"/>
      <c r="Q27" s="142"/>
      <c r="R27" s="142"/>
      <c r="S27" s="143"/>
      <c r="T27" s="139"/>
      <c r="U27" s="143"/>
      <c r="V27" s="143"/>
      <c r="W27" s="143"/>
      <c r="X27" s="143"/>
      <c r="Y27" s="143"/>
    </row>
    <row r="28" spans="1:25" x14ac:dyDescent="0.25">
      <c r="A28" s="469" t="s">
        <v>197</v>
      </c>
      <c r="B28" s="470"/>
      <c r="C28" s="470"/>
      <c r="D28" s="470"/>
      <c r="E28" s="471"/>
      <c r="G28" s="475" t="s">
        <v>167</v>
      </c>
      <c r="H28" s="476"/>
      <c r="I28" s="476"/>
      <c r="J28" s="476"/>
      <c r="K28" s="476"/>
      <c r="L28" s="477"/>
      <c r="N28" s="478" t="s">
        <v>200</v>
      </c>
      <c r="O28" s="479"/>
      <c r="P28" s="479"/>
      <c r="Q28" s="479"/>
      <c r="R28" s="479"/>
      <c r="S28" s="480"/>
    </row>
    <row r="29" spans="1:25" x14ac:dyDescent="0.25">
      <c r="A29" s="472"/>
      <c r="B29" s="473"/>
      <c r="C29" s="473"/>
      <c r="D29" s="473"/>
      <c r="E29" s="474"/>
      <c r="G29" s="223" t="s">
        <v>9</v>
      </c>
      <c r="H29" s="223" t="s">
        <v>10</v>
      </c>
      <c r="I29" s="223" t="s">
        <v>11</v>
      </c>
      <c r="J29" s="223" t="s">
        <v>24</v>
      </c>
      <c r="K29" s="223" t="s">
        <v>12</v>
      </c>
      <c r="L29" s="223" t="s">
        <v>13</v>
      </c>
      <c r="N29" s="145" t="s">
        <v>9</v>
      </c>
      <c r="O29" s="145" t="s">
        <v>10</v>
      </c>
      <c r="P29" s="145" t="s">
        <v>11</v>
      </c>
      <c r="Q29" s="145" t="s">
        <v>24</v>
      </c>
      <c r="R29" s="145" t="s">
        <v>12</v>
      </c>
      <c r="S29" s="145" t="s">
        <v>13</v>
      </c>
    </row>
    <row r="30" spans="1:25" x14ac:dyDescent="0.25">
      <c r="A30" s="453" t="s">
        <v>196</v>
      </c>
      <c r="B30" s="454"/>
      <c r="C30" s="454"/>
      <c r="D30" s="454"/>
      <c r="E30" s="455"/>
      <c r="G30" s="100">
        <f>SUMIF($E$3:$E$26,"postdoc",'R9'!N8:N31)</f>
        <v>0</v>
      </c>
      <c r="H30" s="100">
        <f>SUMIF($E$3:$E$26,"postdoc",'R9'!O8:O31)</f>
        <v>0</v>
      </c>
      <c r="I30" s="100">
        <f>SUMIF($E$3:$E$26,"postdoc",'R9'!P8:P31)</f>
        <v>0</v>
      </c>
      <c r="J30" s="100">
        <f>SUMIF($E$3:$E$26,"postdoc",'R9'!Q8:Q31)</f>
        <v>0</v>
      </c>
      <c r="K30" s="100">
        <f>SUMIF($E$3:$E$26,"postdoc",'R9'!R8:R31)</f>
        <v>0</v>
      </c>
      <c r="L30" s="224">
        <f>SUM(G30:K30)</f>
        <v>0</v>
      </c>
      <c r="N30" s="144">
        <f>SUMIF($E$3:$E$26,"postdoc",N3:N26)</f>
        <v>0</v>
      </c>
      <c r="O30" s="144">
        <f t="shared" ref="O30:R30" si="0">SUMIF($E$3:$E$26,"postdoc",O3:O26)</f>
        <v>0</v>
      </c>
      <c r="P30" s="144">
        <f t="shared" si="0"/>
        <v>0</v>
      </c>
      <c r="Q30" s="144">
        <f t="shared" si="0"/>
        <v>0</v>
      </c>
      <c r="R30" s="144">
        <f t="shared" si="0"/>
        <v>0</v>
      </c>
      <c r="S30" s="225">
        <f>SUM(N30:R30)</f>
        <v>0</v>
      </c>
    </row>
    <row r="31" spans="1:25" x14ac:dyDescent="0.25">
      <c r="A31" s="453" t="s">
        <v>193</v>
      </c>
      <c r="B31" s="454"/>
      <c r="C31" s="454"/>
      <c r="D31" s="454"/>
      <c r="E31" s="455"/>
      <c r="G31" s="100">
        <f>SUMIF($E$3:$E$26,"GSR",'R9'!N8:N31)</f>
        <v>0</v>
      </c>
      <c r="H31" s="100">
        <f>SUMIF($E$3:$E$26,"GSR",'R9'!O8:O31)</f>
        <v>0</v>
      </c>
      <c r="I31" s="100">
        <f>SUMIF($E$3:$E$26,"GSR",'R9'!P8:P31)</f>
        <v>0</v>
      </c>
      <c r="J31" s="100">
        <f>SUMIF($E$3:$E$26,"GSR",'R9'!Q8:Q31)</f>
        <v>0</v>
      </c>
      <c r="K31" s="100">
        <f>SUMIF($E$3:$E$26,"GSR",'R9'!R8:R31)</f>
        <v>0</v>
      </c>
      <c r="L31" s="224">
        <f>SUM(G31:K31)</f>
        <v>0</v>
      </c>
      <c r="N31" s="144">
        <f>SUMIF($E$3:$E$26,"GSR",N3:N26)</f>
        <v>0</v>
      </c>
      <c r="O31" s="144">
        <f t="shared" ref="O31:R31" si="1">SUMIF($E$3:$E$26,"GSR",O3:O26)</f>
        <v>0</v>
      </c>
      <c r="P31" s="144">
        <f t="shared" si="1"/>
        <v>0</v>
      </c>
      <c r="Q31" s="144">
        <f t="shared" si="1"/>
        <v>0</v>
      </c>
      <c r="R31" s="144">
        <f t="shared" si="1"/>
        <v>0</v>
      </c>
      <c r="S31" s="225">
        <f>SUM(N31:R31)</f>
        <v>0</v>
      </c>
    </row>
    <row r="32" spans="1:25" x14ac:dyDescent="0.25">
      <c r="A32" s="453" t="s">
        <v>194</v>
      </c>
      <c r="B32" s="454"/>
      <c r="C32" s="454"/>
      <c r="D32" s="454"/>
      <c r="E32" s="455"/>
      <c r="G32" s="100">
        <f>SUMIF($E$3:$E$26,"Undergrad",'R9'!N8:N31)</f>
        <v>0</v>
      </c>
      <c r="H32" s="100">
        <f>SUMIF($E$3:$E$26,"Undergrad",'R9'!O8:O31)</f>
        <v>0</v>
      </c>
      <c r="I32" s="100">
        <f>SUMIF($E$3:$E$26,"Undergrad",'R9'!P8:P31)</f>
        <v>0</v>
      </c>
      <c r="J32" s="100">
        <f>SUMIF($E$3:$E$26,"Undergrad",'R9'!Q8:Q31)</f>
        <v>0</v>
      </c>
      <c r="K32" s="100">
        <f>SUMIF($E$3:$E$26,"Undergrad",'R9'!R8:R31)</f>
        <v>0</v>
      </c>
      <c r="L32" s="224">
        <f>SUM(G32:K32)</f>
        <v>0</v>
      </c>
      <c r="N32" s="144">
        <f>SUMIF($E$3:$E$26,"Undergrad",N3:N26)</f>
        <v>0</v>
      </c>
      <c r="O32" s="144">
        <f t="shared" ref="O32:R32" si="2">SUMIF($E$3:$E$26,"Undergrad",O3:O26)</f>
        <v>0</v>
      </c>
      <c r="P32" s="144">
        <f t="shared" si="2"/>
        <v>0</v>
      </c>
      <c r="Q32" s="144">
        <f t="shared" si="2"/>
        <v>0</v>
      </c>
      <c r="R32" s="144">
        <f t="shared" si="2"/>
        <v>0</v>
      </c>
      <c r="S32" s="225">
        <f>SUM(N32:R32)</f>
        <v>0</v>
      </c>
    </row>
    <row r="33" spans="1:19" x14ac:dyDescent="0.25">
      <c r="A33" s="453" t="s">
        <v>195</v>
      </c>
      <c r="B33" s="454"/>
      <c r="C33" s="454"/>
      <c r="D33" s="454"/>
      <c r="E33" s="455"/>
      <c r="G33" s="100">
        <f>SUMIF($E$3:$E$26,"Clerical",'R9'!N8:N31)</f>
        <v>0</v>
      </c>
      <c r="H33" s="100">
        <f>SUMIF($E$3:$E$26,"Clerical",'R9'!O8:O31)</f>
        <v>0</v>
      </c>
      <c r="I33" s="100">
        <f>SUMIF($E$3:$E$26,"Clerical",'R9'!P8:P31)</f>
        <v>0</v>
      </c>
      <c r="J33" s="100">
        <f>SUMIF($E$3:$E$26,"Clerical",'R9'!Q8:Q31)</f>
        <v>0</v>
      </c>
      <c r="K33" s="100">
        <f>SUMIF($E$3:$E$26,"Clerical",'R9'!R8:R31)</f>
        <v>0</v>
      </c>
      <c r="L33" s="224">
        <f>SUM(G33:K33)</f>
        <v>0</v>
      </c>
      <c r="N33" s="144">
        <f>SUMIF($E$3:$E$26,"Clerical",N3:N26)</f>
        <v>0</v>
      </c>
      <c r="O33" s="144">
        <f t="shared" ref="O33:R33" si="3">SUMIF($E$3:$E$26,"Clerical",O3:O26)</f>
        <v>0</v>
      </c>
      <c r="P33" s="144">
        <f t="shared" si="3"/>
        <v>0</v>
      </c>
      <c r="Q33" s="144">
        <f t="shared" si="3"/>
        <v>0</v>
      </c>
      <c r="R33" s="144">
        <f t="shared" si="3"/>
        <v>0</v>
      </c>
      <c r="S33" s="225">
        <f>SUM(N33:R33)</f>
        <v>0</v>
      </c>
    </row>
    <row r="34" spans="1:19" ht="7.9" customHeight="1" x14ac:dyDescent="0.25"/>
    <row r="35" spans="1:19" x14ac:dyDescent="0.25">
      <c r="A35" s="469" t="s">
        <v>199</v>
      </c>
      <c r="B35" s="470"/>
      <c r="C35" s="470"/>
      <c r="D35" s="470"/>
      <c r="E35" s="471"/>
      <c r="G35" s="475" t="s">
        <v>199</v>
      </c>
      <c r="H35" s="476"/>
      <c r="I35" s="476"/>
      <c r="J35" s="476"/>
      <c r="K35" s="476"/>
      <c r="L35" s="477"/>
    </row>
    <row r="36" spans="1:19" x14ac:dyDescent="0.25">
      <c r="A36" s="472"/>
      <c r="B36" s="473"/>
      <c r="C36" s="473"/>
      <c r="D36" s="473"/>
      <c r="E36" s="474"/>
      <c r="G36" s="223" t="s">
        <v>9</v>
      </c>
      <c r="H36" s="223" t="s">
        <v>10</v>
      </c>
      <c r="I36" s="223" t="s">
        <v>11</v>
      </c>
      <c r="J36" s="223" t="s">
        <v>24</v>
      </c>
      <c r="K36" s="223" t="s">
        <v>12</v>
      </c>
      <c r="L36" s="223" t="s">
        <v>13</v>
      </c>
    </row>
    <row r="37" spans="1:19" x14ac:dyDescent="0.25">
      <c r="A37" s="453" t="s">
        <v>196</v>
      </c>
      <c r="B37" s="454"/>
      <c r="C37" s="454"/>
      <c r="D37" s="454"/>
      <c r="E37" s="455"/>
      <c r="G37" s="100">
        <f>SUMIF($E$3:$E$26,"postdoc",'R9'!N36:N59)</f>
        <v>0</v>
      </c>
      <c r="H37" s="100">
        <f>SUMIF($E$3:$E$26,"postdoc",'R9'!O36:O59)</f>
        <v>0</v>
      </c>
      <c r="I37" s="100">
        <f>SUMIF($E$3:$E$26,"postdoc",'R9'!P36:P59)</f>
        <v>0</v>
      </c>
      <c r="J37" s="100">
        <f>SUMIF($E$3:$E$26,"postdoc",'R9'!Q36:Q59)</f>
        <v>0</v>
      </c>
      <c r="K37" s="100">
        <f>SUMIF($E$3:$E$26,"postdoc",'R9'!R36:R59)</f>
        <v>0</v>
      </c>
      <c r="L37" s="224">
        <f>SUM(G37:K37)</f>
        <v>0</v>
      </c>
    </row>
    <row r="38" spans="1:19" x14ac:dyDescent="0.25">
      <c r="A38" s="453" t="s">
        <v>193</v>
      </c>
      <c r="B38" s="454"/>
      <c r="C38" s="454"/>
      <c r="D38" s="454"/>
      <c r="E38" s="455"/>
      <c r="G38" s="100">
        <f>SUMIF($E$3:$E$26,"GSR",'R9'!N36:N59)</f>
        <v>0</v>
      </c>
      <c r="H38" s="100">
        <f>SUMIF($E$3:$E$26,"GSR",'R9'!O36:O59)</f>
        <v>0</v>
      </c>
      <c r="I38" s="100">
        <f>SUMIF($E$3:$E$26,"GSR",'R9'!P36:P59)</f>
        <v>0</v>
      </c>
      <c r="J38" s="100">
        <f>SUMIF($E$3:$E$26,"GSR",'R9'!Q36:Q59)</f>
        <v>0</v>
      </c>
      <c r="K38" s="100">
        <f>SUMIF($E$3:$E$26,"GSR",'R9'!R36:R59)</f>
        <v>0</v>
      </c>
      <c r="L38" s="224">
        <f t="shared" ref="L38:L40" si="4">SUM(G38:K38)</f>
        <v>0</v>
      </c>
    </row>
    <row r="39" spans="1:19" x14ac:dyDescent="0.25">
      <c r="A39" s="453" t="s">
        <v>194</v>
      </c>
      <c r="B39" s="454"/>
      <c r="C39" s="454"/>
      <c r="D39" s="454"/>
      <c r="E39" s="455"/>
      <c r="G39" s="100">
        <f>SUMIF($E$3:$E$26,"Undergrad",'R9'!N36:N59)</f>
        <v>0</v>
      </c>
      <c r="H39" s="100">
        <f>SUMIF($E$3:$E$26,"Undergrad",'R9'!O36:O59)</f>
        <v>0</v>
      </c>
      <c r="I39" s="100">
        <f>SUMIF($E$3:$E$26,"Undergrad",'R9'!P36:P59)</f>
        <v>0</v>
      </c>
      <c r="J39" s="100">
        <f>SUMIF($E$3:$E$26,"Undergrad",'R9'!Q36:Q59)</f>
        <v>0</v>
      </c>
      <c r="K39" s="100">
        <f>SUMIF($E$3:$E$26,"Undergrad",'R9'!R36:R59)</f>
        <v>0</v>
      </c>
      <c r="L39" s="224">
        <f>SUM(G39:K39)</f>
        <v>0</v>
      </c>
    </row>
    <row r="40" spans="1:19" x14ac:dyDescent="0.25">
      <c r="A40" s="453" t="s">
        <v>195</v>
      </c>
      <c r="B40" s="454"/>
      <c r="C40" s="454"/>
      <c r="D40" s="454"/>
      <c r="E40" s="455"/>
      <c r="G40" s="100">
        <f>SUMIF($E$3:$E$26,"Clerical",'R9'!N36:N59)</f>
        <v>0</v>
      </c>
      <c r="H40" s="100">
        <f>SUMIF($E$3:$E$26,"Clerical",'R9'!O36:O59)</f>
        <v>0</v>
      </c>
      <c r="I40" s="100">
        <f>SUMIF($E$3:$E$26,"Clerical",'R9'!P36:P59)</f>
        <v>0</v>
      </c>
      <c r="J40" s="100">
        <f>SUMIF($E$3:$E$26,"Clerical",'R9'!Q36:Q59)</f>
        <v>0</v>
      </c>
      <c r="K40" s="100">
        <f>SUMIF($E$3:$E$26,"Clerical",'R9'!R36:R59)</f>
        <v>0</v>
      </c>
      <c r="L40" s="224">
        <f t="shared" si="4"/>
        <v>0</v>
      </c>
    </row>
    <row r="41" spans="1:19" x14ac:dyDescent="0.25">
      <c r="L41" s="146"/>
    </row>
  </sheetData>
  <sheetProtection formatCells="0" formatColumns="0" formatRows="0"/>
  <mergeCells count="19">
    <mergeCell ref="A40:E40"/>
    <mergeCell ref="A33:E33"/>
    <mergeCell ref="A35:E36"/>
    <mergeCell ref="G35:L35"/>
    <mergeCell ref="A37:E37"/>
    <mergeCell ref="A38:E38"/>
    <mergeCell ref="A39:E39"/>
    <mergeCell ref="A32:E32"/>
    <mergeCell ref="A1:E1"/>
    <mergeCell ref="G1:L1"/>
    <mergeCell ref="N1:S1"/>
    <mergeCell ref="U1:Y1"/>
    <mergeCell ref="A2:B2"/>
    <mergeCell ref="C2:E2"/>
    <mergeCell ref="A28:E29"/>
    <mergeCell ref="G28:L28"/>
    <mergeCell ref="N28:S28"/>
    <mergeCell ref="A30:E30"/>
    <mergeCell ref="A31:E31"/>
  </mergeCells>
  <dataValidations count="3">
    <dataValidation type="list" allowBlank="1" showInputMessage="1" showErrorMessage="1" sqref="E3:E27">
      <formula1>"Senior/Key,Other,Postdoc,GSR,Undergrad,Clerical"</formula1>
    </dataValidation>
    <dataValidation type="list" allowBlank="1" showInputMessage="1" showErrorMessage="1" sqref="L27">
      <formula1>"n/a,Base- 9/12,Base-11/12"</formula1>
    </dataValidation>
    <dataValidation type="list" allowBlank="1" showInputMessage="1" showErrorMessage="1" sqref="L3:L26">
      <formula1>"Yes,No"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2" workbookViewId="0">
      <selection activeCell="L35" sqref="L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>
        <f>IF('Subcontract 1'!N2="0 Months",0,IF('Subcontract 1'!N2="1 month",1,IF('Subcontract 1'!N2="2 months",2,IF('Subcontract 1'!N2="3 months",3,IF('Subcontract 1'!N2="4 months",4,IF('Subcontract 1'!N2="5 months",5,IF('Subcontract 1'!N2="6 months",6,IF('Subcontract 1'!N2="7 months",7,IF('Subcontract 1'!N2="8 months",8,IF('Subcontract 1'!N2="9 months",9,IF('Subcontract 1'!N2="10 months",10,IF('Subcontract 1'!N2="11 months",11,IF('Subcontract 1'!N2="12 months",12,0)))))))))))))</f>
        <v>12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>
        <f>'Subcontract 1'!C1</f>
        <v>43922</v>
      </c>
      <c r="C2" s="5">
        <f>B2</f>
        <v>43922</v>
      </c>
      <c r="D2" s="5">
        <f>IF(C3&lt;B3,DATE(YEAR(C3),MONTH(C3),DAY(C3)+1),"")</f>
        <v>44287</v>
      </c>
      <c r="E2" s="5" t="str">
        <f>IF($D$3&lt;$B$3,DATE(YEAR(D3),MONTH(D3),DAY(D3)+1),"")</f>
        <v/>
      </c>
      <c r="F2" s="5" t="str">
        <f>IF(AND($D$3&lt;$B$3,$E3&lt;$B$3),DATE(YEAR(E3),MONTH(E3),DAY(E3)+1),"")</f>
        <v/>
      </c>
      <c r="G2" s="5" t="str">
        <f>IF(AND($D$3&lt;$B$3,$E3&lt;$B$3,F3&lt;B3),DATE(YEAR(F3),MONTH(F3),DAY(F3)+1),"")</f>
        <v/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>
        <f>'Subcontract 1'!C2</f>
        <v>44651</v>
      </c>
      <c r="C3" s="5">
        <f>IF(B5&lt;C1,B3,(DATE(YEAR(C2),MONTH(C2)+C1,DAY(C2)-1)))</f>
        <v>44286</v>
      </c>
      <c r="D3" s="5">
        <f>IF(C3=B3,"",IF((DATE(YEAR(D2)+1,MONTH(D2),DAY(D2)-1))&gt;$B$3,$B$3,(DATE(YEAR(D2)+1,MONTH(D2),DAY(D2)-1))))</f>
        <v>44651</v>
      </c>
      <c r="E3" s="5" t="str">
        <f>IF(C3=B3,"",IF(D3=B3,"",IF((DATE(YEAR(E2)+1,MONTH(E2),DAY(E2)-1))&gt;$B$3,$B$3,(DATE(YEAR(E2)+1,MONTH(E2),DAY(E2)-1)))))</f>
        <v/>
      </c>
      <c r="F3" s="5" t="str">
        <f>IF($B$3=$C$3,"",IF($D$3=$B$3,"",IF($E$3=$B$3,"",IF((DATE(YEAR(F2)+1,MONTH(F2),DAY(F2)-1))&gt;$B$3,$B$3,(DATE(YEAR(F2)+1,MONTH(F2),DAY(F2)-1))))))</f>
        <v/>
      </c>
      <c r="G3" s="5" t="str">
        <f>IF($B$3=$C$3,"",IF($D$3=$B$3,"",IF($E$3=$B$3,"",IF($F3=B3,"",IF((DATE(YEAR(G2)+1,MONTH(G2),DAY(G2)-1))&gt;$B$3,$B$3,(DATE(YEAR(G2)+1,MONTH(G2),DAY(G2)-1)))))))</f>
        <v/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19/20</v>
      </c>
      <c r="C4" s="258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19/20</v>
      </c>
      <c r="D4" s="258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20/21</v>
      </c>
      <c r="E4" s="258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/>
      </c>
      <c r="F4" s="258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/>
      </c>
      <c r="G4" s="258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/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>
        <f>ROUND(YEARFRAC(B2,(DATE(YEAR(B3),MONTH(B3),DAY(B3)+1)),0)*12,1)</f>
        <v>24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12</v>
      </c>
      <c r="E5" s="16">
        <f>IF(E4="",0,ROUND(YEARFRAC(E2,(DATE(YEAR(E3),MONTH(E3),DAY(E3)+1)),0)*12,1))</f>
        <v>0</v>
      </c>
      <c r="F5" s="16">
        <f>IF(F4="",0,ROUND(YEARFRAC(F2,(DATE(YEAR(F3),MONTH(F3),DAY(F3)+1)),0)*12,1))</f>
        <v>0</v>
      </c>
      <c r="G5" s="16">
        <f>IF(G4="",0,ROUND(YEARFRAC(G2,(DATE(YEAR(G3),MONTH(G3),DAY(G3)+1)),0)*12,1))</f>
        <v>0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3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3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>
        <f>IF(ROUND(C5-C6,2)&lt;0,0,ROUND(C5-C6,2))</f>
        <v>9</v>
      </c>
      <c r="D7" s="8">
        <f>IF(ROUND(D5-D6,2)&lt;0,0,ROUND(D5-D6,2))</f>
        <v>9</v>
      </c>
      <c r="E7" s="8">
        <f>IF(ROUND(E5-E6,2)&lt;0,0,ROUND(E5-E6,2))</f>
        <v>0</v>
      </c>
      <c r="F7" s="8">
        <f>IF(ROUND(F5-F6,2)&lt;0,0,ROUND(F5-F6,2))</f>
        <v>0</v>
      </c>
      <c r="G7" s="8">
        <f>IF(ROUND(G5-G6,2)&lt;0,0,ROUND(G5-G6,2))</f>
        <v>0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7/01/2020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7/01/2021</v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/>
      </c>
      <c r="F8" s="5" t="str">
        <f t="shared" si="1"/>
        <v/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/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>
        <f>IF(C5&lt;C6,C5,IF(C5=C6,C5,IF(C5&gt;C6,C6)))</f>
        <v>3</v>
      </c>
      <c r="D9" s="14">
        <f t="shared" ref="D9:E9" si="2">IF(D5&lt;D6,D5,IF(D5=D6,D5,IF(D5&gt;D6,D6)))</f>
        <v>3</v>
      </c>
      <c r="E9" s="14">
        <f t="shared" si="2"/>
        <v>0</v>
      </c>
      <c r="F9" s="14">
        <f>IF(F5&lt;F6,F5,IF(F5=F6,F5,IF(F5&gt;F6,F6)))</f>
        <v>0</v>
      </c>
      <c r="G9" s="14">
        <f>IF(G5&lt;G6,G5,IF(G5=G6,G5,IF(G5&gt;G6,G6)))</f>
        <v>0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>
        <f>ROUND(C5-C9,2)</f>
        <v>9</v>
      </c>
      <c r="D10" s="7">
        <f>IF(D4="",0,ROUND(D5-D9,2))</f>
        <v>9</v>
      </c>
      <c r="E10" s="7">
        <f>IF(E4="",0,ROUND(E5-E9,2))</f>
        <v>0</v>
      </c>
      <c r="F10" s="7">
        <f>IF(F4="",0,ROUND(F5-F9,2))</f>
        <v>0</v>
      </c>
      <c r="G10" s="7">
        <f>IF(G4="",0,ROUND(G5-G9,2))</f>
        <v>0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0.5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0.5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</v>
      </c>
      <c r="F11" s="21">
        <f t="shared" si="3"/>
        <v>0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>
        <f>3-C11</f>
        <v>2.5</v>
      </c>
      <c r="D12" s="7">
        <f>IF(D4="",0,3-D11)</f>
        <v>2.5</v>
      </c>
      <c r="E12" s="7">
        <f>IF(E4="",0,3-E11)</f>
        <v>0</v>
      </c>
      <c r="F12" s="7">
        <f>IF(F4="",0,3-F11)</f>
        <v>0</v>
      </c>
      <c r="G12" s="7">
        <f>IF(G4="",0,3-G11)</f>
        <v>0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>
        <f>IF(C9&gt;=C11,C11,C9)</f>
        <v>0.5</v>
      </c>
      <c r="D13" s="74">
        <f>IF(D4="",0,IF(D9&gt;=D11,D11,D9))</f>
        <v>0.5</v>
      </c>
      <c r="E13" s="74">
        <f t="shared" ref="E13:G13" si="4">IF(E9&gt;=E11,E11,E9)</f>
        <v>0</v>
      </c>
      <c r="F13" s="74">
        <f t="shared" si="4"/>
        <v>0</v>
      </c>
      <c r="G13" s="74">
        <f t="shared" si="4"/>
        <v>0</v>
      </c>
      <c r="H13" s="12"/>
    </row>
    <row r="14" spans="1:15" x14ac:dyDescent="0.2">
      <c r="A14" s="72" t="s">
        <v>56</v>
      </c>
      <c r="B14" s="73"/>
      <c r="C14" s="74">
        <f>IF(C10&gt;=C12,C12,C10)</f>
        <v>2.5</v>
      </c>
      <c r="D14" s="74">
        <f t="shared" ref="D14:G14" si="5">IF(D10&gt;=D12,D12,D10)</f>
        <v>2.5</v>
      </c>
      <c r="E14" s="74">
        <f t="shared" si="5"/>
        <v>0</v>
      </c>
      <c r="F14" s="74">
        <f t="shared" si="5"/>
        <v>0</v>
      </c>
      <c r="G14" s="74">
        <f t="shared" si="5"/>
        <v>0</v>
      </c>
      <c r="H14" s="12"/>
    </row>
    <row r="15" spans="1:15" x14ac:dyDescent="0.2">
      <c r="A15" s="258" t="s">
        <v>58</v>
      </c>
      <c r="B15" s="5">
        <f ca="1">IF('Subcontract 1'!R1="",TODAY(),'Subcontract 1'!R1)</f>
        <v>43755</v>
      </c>
      <c r="H15" s="12"/>
    </row>
    <row r="16" spans="1:15" x14ac:dyDescent="0.2">
      <c r="A16" s="258" t="s">
        <v>60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19/20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7/01/2020</v>
      </c>
      <c r="C17" s="28">
        <f>(DATE(YEAR(C2),MONTH(C2)+C6,DAY(C2)-1))</f>
        <v>44012</v>
      </c>
      <c r="D17" s="28">
        <f>IF(D2="","",(DATE(YEAR(D2),MONTH(D2)+D6,DAY(D2)-1)))</f>
        <v>44377</v>
      </c>
      <c r="E17" s="28" t="str">
        <f>IF(E2="","",(DATE(YEAR(E2),MONTH(E2)+E6,DAY(E2)-1)))</f>
        <v/>
      </c>
      <c r="F17" s="28" t="str">
        <f t="shared" ref="F17:G17" si="6">IF(F2="","",(DATE(YEAR(F2),MONTH(F2)+F6,DAY(F2)-1)))</f>
        <v/>
      </c>
      <c r="G17" s="165" t="str">
        <f t="shared" si="6"/>
        <v/>
      </c>
      <c r="H17" s="12"/>
    </row>
    <row r="18" spans="1:8" x14ac:dyDescent="0.2">
      <c r="A18" s="258" t="s">
        <v>59</v>
      </c>
      <c r="B18" s="116">
        <f ca="1">ROUND(IF(B16="","",YEARFRAC(B15,(DATE(YEAR(B17),MONTH(B17),DAY(B17)+1)),1)*12),1)</f>
        <v>8.5</v>
      </c>
      <c r="C18" s="31">
        <f>(DATE(YEAR(C2),MONTH(C2)+C6,DAY(C2)))</f>
        <v>44013</v>
      </c>
      <c r="D18" s="31">
        <f>IF(D2="","",(DATE(YEAR(D2),MONTH(D2)+D6,DAY(D2))))</f>
        <v>44378</v>
      </c>
      <c r="E18" s="31" t="str">
        <f t="shared" ref="E18:G18" si="7">IF(E2="","",(DATE(YEAR(E2),MONTH(E2)+E6,DAY(E2))))</f>
        <v/>
      </c>
      <c r="F18" s="31" t="str">
        <f t="shared" si="7"/>
        <v/>
      </c>
      <c r="G18" s="166" t="str">
        <f t="shared" si="7"/>
        <v/>
      </c>
      <c r="H18" s="12"/>
    </row>
    <row r="19" spans="1:8" x14ac:dyDescent="0.2">
      <c r="A19" s="258" t="s">
        <v>62</v>
      </c>
      <c r="B19" s="116">
        <f ca="1">ROUND(YEARFRAC(B15,(DATE(YEAR(B2),MONTH(B2),DAY(B2)+1)),1)*12,1)</f>
        <v>5.5</v>
      </c>
      <c r="C19" s="33">
        <f>C3</f>
        <v>44286</v>
      </c>
      <c r="D19" s="33">
        <f>D3</f>
        <v>44651</v>
      </c>
      <c r="E19" s="33" t="str">
        <f>E3</f>
        <v/>
      </c>
      <c r="F19" s="33" t="str">
        <f>F3</f>
        <v/>
      </c>
      <c r="G19" s="167" t="str">
        <f>G3</f>
        <v/>
      </c>
      <c r="H19" s="12"/>
    </row>
    <row r="20" spans="1:8" x14ac:dyDescent="0.2">
      <c r="A20" s="258" t="s">
        <v>63</v>
      </c>
      <c r="B20" s="7">
        <f ca="1">IF(B18&gt;B19,0,IF(B19&gt;=B18,ROUNDDOWN((B19-B18)/12+1,0)))</f>
        <v>0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>
        <f ca="1">IF(C22=TRUE,C21,DATE(YEAR(C21)+1,MONTH(C21),DAY(C21)))</f>
        <v>366</v>
      </c>
      <c r="C21" s="28" t="b">
        <f ca="1">IF(B16="14/15",("09/01/2014"),IF(B16="15/16",("09/01/2015"),IF(B16="16/17",("09/01/2016"),IF(B16="17/18",("09/1/2017")))))</f>
        <v>0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>
        <f ca="1">ROUND(IF(B16="","",YEARFRAC(B15,(DATE(YEAR(B21),MONTH(B21),DAY(B21)+1)),1)*12),1)</f>
        <v>1425.5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>
        <f ca="1">ROUND(YEARFRAC(B15,(DATE(YEAR(B2),MONTH(B2),DAY(B2)+1)),1)*12,1)</f>
        <v>5.5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>
        <f ca="1">IF(AND(B22&gt;=B23,B22&lt;5),0,(IF(AND(B22&gt;=B23,B22&gt;=5),1,(IF(AND(B23&gt;B22,B22&gt;=5),ROUND((B23-B22)/12+1,0),((ROUND((B23-B22)/12,0))))))))</f>
        <v>1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3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3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0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0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0</v>
      </c>
      <c r="H25" s="12"/>
    </row>
    <row r="26" spans="1:8" x14ac:dyDescent="0.2">
      <c r="A26" s="258" t="s">
        <v>119</v>
      </c>
      <c r="B26" s="7"/>
      <c r="C26" s="14">
        <f>9-C25</f>
        <v>6</v>
      </c>
      <c r="D26" s="14">
        <f>IF(D4="",0,9-D25)</f>
        <v>6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2">
      <c r="A27" s="258" t="s">
        <v>120</v>
      </c>
      <c r="B27" s="7"/>
      <c r="C27" s="7">
        <f>IF(C5&lt;C25,C5,C25)</f>
        <v>3</v>
      </c>
      <c r="D27" s="7">
        <f>IF(D5&lt;D25,D5,D25)</f>
        <v>3</v>
      </c>
      <c r="E27" s="7">
        <f t="shared" ref="E27:G27" si="8">IF(E5&lt;E25,E5,E25)</f>
        <v>0</v>
      </c>
      <c r="F27" s="7">
        <f t="shared" si="8"/>
        <v>0</v>
      </c>
      <c r="G27" s="7">
        <f t="shared" si="8"/>
        <v>0</v>
      </c>
      <c r="H27" s="12"/>
    </row>
    <row r="28" spans="1:8" x14ac:dyDescent="0.2">
      <c r="A28" s="258" t="s">
        <v>121</v>
      </c>
      <c r="B28" s="5"/>
      <c r="C28" s="7">
        <f>IF(C5&lt;C25,0,IF(C5&lt;C25+C26,C5-C25,C26))</f>
        <v>6</v>
      </c>
      <c r="D28" s="7">
        <f>IF(D4="",0,IF(D5&lt;D25,0,IF(D5&lt;D25+D26,D5-D25,D26)))</f>
        <v>6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2">
      <c r="A29" s="258" t="s">
        <v>165</v>
      </c>
      <c r="B29" s="5"/>
      <c r="C29" s="7">
        <f>C27+C28</f>
        <v>9</v>
      </c>
      <c r="D29" s="7">
        <f t="shared" ref="D29:G29" si="9">D27+D28</f>
        <v>9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12"/>
    </row>
    <row r="30" spans="1:8" x14ac:dyDescent="0.2">
      <c r="A30" s="258" t="s">
        <v>166</v>
      </c>
      <c r="B30" s="5"/>
      <c r="C30" s="7">
        <f>IF(C29=0,0,IF(C29&lt;4,1,IF(C29&lt;7,2,3)))</f>
        <v>3</v>
      </c>
      <c r="D30" s="7">
        <f t="shared" ref="D30:F30" si="10">IF(D29=0,0,IF(D29&lt;4,1,IF(D29&lt;7,2,3)))</f>
        <v>3</v>
      </c>
      <c r="E30" s="7">
        <f t="shared" si="10"/>
        <v>0</v>
      </c>
      <c r="F30" s="7">
        <f t="shared" si="10"/>
        <v>0</v>
      </c>
      <c r="G30" s="7">
        <f>IF(G29=0,0,IF(G29&lt;4,1,IF(G29&lt;7,2,3)))</f>
        <v>0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IF('Subcontract 1'!#REF!="No",$E35,ROUND(E35*1.03,3))</f>
        <v>#REF!</v>
      </c>
      <c r="G35" s="4" t="e">
        <f>IF('Subcontract 1'!#REF!="No",$E35,ROUND(F35*1.03,3))</f>
        <v>#REF!</v>
      </c>
      <c r="H35" s="4" t="e">
        <f>IF('Subcontract 1'!#REF!="No",$E35,ROUND(G35*1.03,3))</f>
        <v>#REF!</v>
      </c>
      <c r="I35" s="4" t="e">
        <f>IF('Subcontract 1'!#REF!="No",$E35,ROUND(H35*1.03,3))</f>
        <v>#REF!</v>
      </c>
      <c r="J35" s="4" t="e">
        <f>IF('Subcontract 1'!#REF!="No",$E35,ROUND(I35*1.03,3))</f>
        <v>#REF!</v>
      </c>
      <c r="K35" s="4" t="e">
        <f>IF('Subcontract 1'!#REF!="No",$E35,ROUND(J35*1.03,3))</f>
        <v>#REF!</v>
      </c>
      <c r="L35" s="4" t="e">
        <f>IF('Subcontract 1'!#REF!="No",$E35,ROUND(K35*1.03,3))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IF('Subcontract 1'!#REF!="No",$E36,ROUND(E36*1.03,3))</f>
        <v>#REF!</v>
      </c>
      <c r="G36" s="4" t="e">
        <f>IF('Subcontract 1'!#REF!="No",$E36,ROUND(F36*1.03,3))</f>
        <v>#REF!</v>
      </c>
      <c r="H36" s="4" t="e">
        <f>IF('Subcontract 1'!#REF!="No",$E36,ROUND(G36*1.03,3))</f>
        <v>#REF!</v>
      </c>
      <c r="I36" s="4" t="e">
        <f>IF('Subcontract 1'!#REF!="No",$E36,ROUND(H36*1.03,3))</f>
        <v>#REF!</v>
      </c>
      <c r="J36" s="4" t="e">
        <f>IF('Subcontract 1'!#REF!="No",$E36,ROUND(I36*1.03,3))</f>
        <v>#REF!</v>
      </c>
      <c r="K36" s="4" t="e">
        <f>IF('Subcontract 1'!#REF!="No",$E36,ROUND(J36*1.03,3))</f>
        <v>#REF!</v>
      </c>
      <c r="L36" s="4" t="e">
        <f>IF('Subcontract 1'!#REF!="No",$E36,ROUND(K36*1.03,3))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IF('Subcontract 1'!#REF!="No",$E37,ROUND(E37*1.03,3))</f>
        <v>#REF!</v>
      </c>
      <c r="G37" s="4" t="e">
        <f>IF('Subcontract 1'!#REF!="No",$E37,ROUND(F37*1.03,3))</f>
        <v>#REF!</v>
      </c>
      <c r="H37" s="4" t="e">
        <f>IF('Subcontract 1'!#REF!="No",$E37,ROUND(G37*1.03,3))</f>
        <v>#REF!</v>
      </c>
      <c r="I37" s="4" t="e">
        <f>IF('Subcontract 1'!#REF!="No",$E37,ROUND(H37*1.03,3))</f>
        <v>#REF!</v>
      </c>
      <c r="J37" s="4" t="e">
        <f>IF('Subcontract 1'!#REF!="No",$E37,ROUND(I37*1.03,3))</f>
        <v>#REF!</v>
      </c>
      <c r="K37" s="4" t="e">
        <f>IF('Subcontract 1'!#REF!="No",$E37,ROUND(J37*1.03,3))</f>
        <v>#REF!</v>
      </c>
      <c r="L37" s="4" t="e">
        <f>IF('Subcontract 1'!#REF!="No",$E37,ROUND(K37*1.03,3))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IF('Subcontract 1'!#REF!="No",$E38,ROUND(E38*1.03,3))</f>
        <v>#REF!</v>
      </c>
      <c r="G38" s="4" t="e">
        <f>IF('Subcontract 1'!#REF!="No",$E38,ROUND(F38*1.03,3))</f>
        <v>#REF!</v>
      </c>
      <c r="H38" s="4" t="e">
        <f>IF('Subcontract 1'!#REF!="No",$E38,ROUND(G38*1.03,3))</f>
        <v>#REF!</v>
      </c>
      <c r="I38" s="4" t="e">
        <f>IF('Subcontract 1'!#REF!="No",$E38,ROUND(H38*1.03,3))</f>
        <v>#REF!</v>
      </c>
      <c r="J38" s="4" t="e">
        <f>IF('Subcontract 1'!#REF!="No",$E38,ROUND(I38*1.03,3))</f>
        <v>#REF!</v>
      </c>
      <c r="K38" s="4" t="e">
        <f>IF('Subcontract 1'!#REF!="No",$E38,ROUND(J38*1.03,3))</f>
        <v>#REF!</v>
      </c>
      <c r="L38" s="4" t="e">
        <f>IF('Subcontract 1'!#REF!="No",$E38,ROUND(K38*1.03,3))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IF('Subcontract 1'!#REF!="No",$E39,ROUND(E39*1.03,3))</f>
        <v>#REF!</v>
      </c>
      <c r="G39" s="4" t="e">
        <f>IF('Subcontract 1'!#REF!="No",$E39,ROUND(F39*1.03,3))</f>
        <v>#REF!</v>
      </c>
      <c r="H39" s="4" t="e">
        <f>IF('Subcontract 1'!#REF!="No",$E39,ROUND(G39*1.03,3))</f>
        <v>#REF!</v>
      </c>
      <c r="I39" s="4" t="e">
        <f>IF('Subcontract 1'!#REF!="No",$E39,ROUND(H39*1.03,3))</f>
        <v>#REF!</v>
      </c>
      <c r="J39" s="4" t="e">
        <f>IF('Subcontract 1'!#REF!="No",$E39,ROUND(I39*1.03,3))</f>
        <v>#REF!</v>
      </c>
      <c r="K39" s="4" t="e">
        <f>IF('Subcontract 1'!#REF!="No",$E39,ROUND(J39*1.03,3))</f>
        <v>#REF!</v>
      </c>
      <c r="L39" s="4" t="e">
        <f>IF('Subcontract 1'!#REF!="No",$E39,ROUND(K39*1.03,3))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IF('Subcontract 1'!#REF!="No",$E40,ROUND(E40*1.03,3))</f>
        <v>#REF!</v>
      </c>
      <c r="G40" s="4" t="e">
        <f>IF('Subcontract 1'!#REF!="No",$E40,ROUND(F40*1.03,3))</f>
        <v>#REF!</v>
      </c>
      <c r="H40" s="4" t="e">
        <f>IF('Subcontract 1'!#REF!="No",$E40,ROUND(G40*1.03,3))</f>
        <v>#REF!</v>
      </c>
      <c r="I40" s="4" t="e">
        <f>IF('Subcontract 1'!#REF!="No",$E40,ROUND(H40*1.03,3))</f>
        <v>#REF!</v>
      </c>
      <c r="J40" s="4" t="e">
        <f>IF('Subcontract 1'!#REF!="No",$E40,ROUND(I40*1.03,3))</f>
        <v>#REF!</v>
      </c>
      <c r="K40" s="4" t="e">
        <f>IF('Subcontract 1'!#REF!="No",$E40,ROUND(J40*1.03,3))</f>
        <v>#REF!</v>
      </c>
      <c r="L40" s="4" t="e">
        <f>IF('Subcontract 1'!#REF!="No",$E40,ROUND(K40*1.03,3))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IF('Subcontract 1'!#REF!="No",$E41,ROUND(E41*1.03,3))</f>
        <v>#REF!</v>
      </c>
      <c r="G41" s="4" t="e">
        <f>IF('Subcontract 1'!#REF!="No",$E41,ROUND(F41*1.03,3))</f>
        <v>#REF!</v>
      </c>
      <c r="H41" s="4" t="e">
        <f>IF('Subcontract 1'!#REF!="No",$E41,ROUND(G41*1.03,3))</f>
        <v>#REF!</v>
      </c>
      <c r="I41" s="4" t="e">
        <f>IF('Subcontract 1'!#REF!="No",$E41,ROUND(H41*1.03,3))</f>
        <v>#REF!</v>
      </c>
      <c r="J41" s="4" t="e">
        <f>IF('Subcontract 1'!#REF!="No",$E41,ROUND(I41*1.03,3))</f>
        <v>#REF!</v>
      </c>
      <c r="K41" s="4" t="e">
        <f>IF('Subcontract 1'!#REF!="No",$E41,ROUND(J41*1.03,3))</f>
        <v>#REF!</v>
      </c>
      <c r="L41" s="4" t="e">
        <f>IF('Subcontract 1'!#REF!="No",$E41,ROUND(K41*1.03,3))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IF('Subcontract 1'!#REF!="No",$E42,ROUND(E42*1.03,3))</f>
        <v>#REF!</v>
      </c>
      <c r="G42" s="4" t="e">
        <f>IF('Subcontract 1'!#REF!="No",$E42,ROUND(F42*1.03,3))</f>
        <v>#REF!</v>
      </c>
      <c r="H42" s="4" t="e">
        <f>IF('Subcontract 1'!#REF!="No",$E42,ROUND(G42*1.03,3))</f>
        <v>#REF!</v>
      </c>
      <c r="I42" s="4" t="e">
        <f>IF('Subcontract 1'!#REF!="No",$E42,ROUND(H42*1.03,3))</f>
        <v>#REF!</v>
      </c>
      <c r="J42" s="4" t="e">
        <f>IF('Subcontract 1'!#REF!="No",$E42,ROUND(I42*1.03,3))</f>
        <v>#REF!</v>
      </c>
      <c r="K42" s="4" t="e">
        <f>IF('Subcontract 1'!#REF!="No",$E42,ROUND(J42*1.03,3))</f>
        <v>#REF!</v>
      </c>
      <c r="L42" s="4" t="e">
        <f>IF('Subcontract 1'!#REF!="No",$E42,ROUND(K42*1.03,3))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IF('Subcontract 1'!#REF!="No",$E43,ROUND(E43*1.03,3))</f>
        <v>#REF!</v>
      </c>
      <c r="G43" s="4" t="e">
        <f>IF('Subcontract 1'!#REF!="No",$E43,ROUND(F43*1.03,3))</f>
        <v>#REF!</v>
      </c>
      <c r="H43" s="4" t="e">
        <f>IF('Subcontract 1'!#REF!="No",$E43,ROUND(G43*1.03,3))</f>
        <v>#REF!</v>
      </c>
      <c r="I43" s="4" t="e">
        <f>IF('Subcontract 1'!#REF!="No",$E43,ROUND(H43*1.03,3))</f>
        <v>#REF!</v>
      </c>
      <c r="J43" s="4" t="e">
        <f>IF('Subcontract 1'!#REF!="No",$E43,ROUND(I43*1.03,3))</f>
        <v>#REF!</v>
      </c>
      <c r="K43" s="4" t="e">
        <f>IF('Subcontract 1'!#REF!="No",$E43,ROUND(J43*1.03,3))</f>
        <v>#REF!</v>
      </c>
      <c r="L43" s="4" t="e">
        <f>IF('Subcontract 1'!#REF!="No",$E43,ROUND(K43*1.03,3))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>
        <f t="shared" ref="F47:F55" si="11">IF($E$4="",0,IF($E$4=$D$34,D35,IF($E$4=$E$34,E35,IF($E$4=$F$34,F35,IF($E$4=$G$34,G35,IF($E$4=$H$34,H35,IF($E$4=I34,I35,IF($E$4=$J$34,J35))))))))</f>
        <v>0</v>
      </c>
      <c r="G47" s="4">
        <f>IF($E$4="",0,IF($E$7=0,F47,IF($E$4=$B$34,C35,IF($E$4=$C$34,D35,IF($E$4=$D$34,E35,IF($E$4=$E$34,F35,IF($E$4=$F$34,G35,IF($E$4=$G$34,H35,IF($E$4=$H$34,I35,IF($E$4=$I$34,J35))))))))))</f>
        <v>0</v>
      </c>
      <c r="H47" s="4">
        <f t="shared" ref="H47:H55" si="12">IF($F$4="",0,IF($F$4=$D$34,D35,IF($F$4=$E$34,E35,IF($F$4=$F$34,F35,IF($F$4=$G$34,G35,IF($F$4=$H$34,H35,IF($F$4=$I$34,I35,IF($F$4=$J$34,J35,IF($F$4=$K$34,K35,)))))))))</f>
        <v>0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>
        <f t="shared" si="11"/>
        <v>0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</v>
      </c>
      <c r="H48" s="4">
        <f t="shared" si="12"/>
        <v>0</v>
      </c>
      <c r="I48" s="4">
        <f t="shared" si="13"/>
        <v>0</v>
      </c>
      <c r="J48" s="4">
        <f t="shared" si="14"/>
        <v>0</v>
      </c>
      <c r="K48" s="4">
        <f t="shared" si="15"/>
        <v>0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>
        <f t="shared" si="11"/>
        <v>0</v>
      </c>
      <c r="G49" s="4">
        <f t="shared" si="20"/>
        <v>0</v>
      </c>
      <c r="H49" s="4">
        <f t="shared" si="12"/>
        <v>0</v>
      </c>
      <c r="I49" s="4">
        <f t="shared" si="13"/>
        <v>0</v>
      </c>
      <c r="J49" s="4">
        <f t="shared" si="14"/>
        <v>0</v>
      </c>
      <c r="K49" s="4">
        <f t="shared" si="15"/>
        <v>0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>
        <f t="shared" si="11"/>
        <v>0</v>
      </c>
      <c r="G50" s="4">
        <f t="shared" si="20"/>
        <v>0</v>
      </c>
      <c r="H50" s="4">
        <f t="shared" si="12"/>
        <v>0</v>
      </c>
      <c r="I50" s="4">
        <f t="shared" si="13"/>
        <v>0</v>
      </c>
      <c r="J50" s="4">
        <f t="shared" si="14"/>
        <v>0</v>
      </c>
      <c r="K50" s="4">
        <f t="shared" si="15"/>
        <v>0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>
        <f t="shared" si="11"/>
        <v>0</v>
      </c>
      <c r="G51" s="4">
        <f t="shared" si="20"/>
        <v>0</v>
      </c>
      <c r="H51" s="4">
        <f t="shared" si="12"/>
        <v>0</v>
      </c>
      <c r="I51" s="4">
        <f t="shared" si="13"/>
        <v>0</v>
      </c>
      <c r="J51" s="4">
        <f t="shared" si="14"/>
        <v>0</v>
      </c>
      <c r="K51" s="4">
        <f t="shared" si="15"/>
        <v>0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>
        <f t="shared" si="11"/>
        <v>0</v>
      </c>
      <c r="G52" s="4">
        <f t="shared" si="20"/>
        <v>0</v>
      </c>
      <c r="H52" s="4">
        <f t="shared" si="12"/>
        <v>0</v>
      </c>
      <c r="I52" s="4">
        <f t="shared" si="13"/>
        <v>0</v>
      </c>
      <c r="J52" s="4">
        <f t="shared" si="14"/>
        <v>0</v>
      </c>
      <c r="K52" s="4">
        <f t="shared" si="15"/>
        <v>0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>
        <f t="shared" si="11"/>
        <v>0</v>
      </c>
      <c r="G53" s="20">
        <f t="shared" si="20"/>
        <v>0</v>
      </c>
      <c r="H53" s="4">
        <f t="shared" si="12"/>
        <v>0</v>
      </c>
      <c r="I53" s="4">
        <f t="shared" si="13"/>
        <v>0</v>
      </c>
      <c r="J53" s="4">
        <f t="shared" si="14"/>
        <v>0</v>
      </c>
      <c r="K53" s="4">
        <f t="shared" si="15"/>
        <v>0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>
        <f t="shared" si="11"/>
        <v>0</v>
      </c>
      <c r="G54" s="4">
        <f t="shared" si="20"/>
        <v>0</v>
      </c>
      <c r="H54" s="4">
        <f t="shared" si="12"/>
        <v>0</v>
      </c>
      <c r="I54" s="4">
        <f t="shared" si="13"/>
        <v>0</v>
      </c>
      <c r="J54" s="4">
        <f t="shared" si="14"/>
        <v>0</v>
      </c>
      <c r="K54" s="4">
        <f t="shared" si="15"/>
        <v>0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>
        <f t="shared" si="11"/>
        <v>0</v>
      </c>
      <c r="G55" s="4">
        <f t="shared" si="20"/>
        <v>0</v>
      </c>
      <c r="H55" s="4">
        <f t="shared" si="12"/>
        <v>0</v>
      </c>
      <c r="I55" s="4">
        <f t="shared" si="13"/>
        <v>0</v>
      </c>
      <c r="J55" s="4">
        <f t="shared" si="14"/>
        <v>0</v>
      </c>
      <c r="K55" s="4">
        <f t="shared" si="15"/>
        <v>0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>
        <f t="shared" si="21"/>
        <v>0</v>
      </c>
      <c r="G56" s="4">
        <f>G52</f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str">
        <f>IF(E4="","",(IF(F47&lt;&gt;G47,(F47*100)&amp;"/"&amp;G47*100,F47*100)))</f>
        <v/>
      </c>
      <c r="E59" s="259" t="str">
        <f>IF(F4="","",(IF(H47&lt;&gt;I47,(H47*100)&amp;"/"&amp;I47*100,H47*100)))</f>
        <v/>
      </c>
      <c r="F59" s="259" t="str">
        <f>IF(G4="","",(IF(J47&lt;&gt;K47,(J47*100)&amp;"/"&amp;K47*100,J47*100)))</f>
        <v/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str">
        <f>IF(E4="","",(IF(F48&lt;&gt;G48,(F48*100)&amp;"/"&amp;G48*100,F48*100)))</f>
        <v/>
      </c>
      <c r="E60" s="259" t="str">
        <f>IF(F4="","",(IF(H48&lt;&gt;I48,(H48*100)&amp;"/"&amp;I48*100,H48*100)))</f>
        <v/>
      </c>
      <c r="F60" s="259" t="str">
        <f>IF(G4="","",(IF(J48&lt;&gt;K48,(J48*100)&amp;"/"&amp;K48*100,J48*100)))</f>
        <v/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str">
        <f>IF(E4="","",(IF(F49&lt;&gt;G49,(F49*100)&amp;"/"&amp;G49*100,F49*100)))</f>
        <v/>
      </c>
      <c r="E61" s="259" t="str">
        <f>IF(F4="","",(IF(H49&lt;&gt;I49,(H49*100)&amp;"/"&amp;I49*100,H49*100)))</f>
        <v/>
      </c>
      <c r="F61" s="259" t="str">
        <f>IF(G4="","",(IF(J49&lt;&gt;K49,(J49*100)&amp;"/"&amp;K49*100,J49*100)))</f>
        <v/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str">
        <f>IF(E4="","",(IF(F50&lt;&gt;G50,(F50*100)&amp;"/"&amp;G50*100,F50*100)))</f>
        <v/>
      </c>
      <c r="E62" s="259" t="str">
        <f>IF(F4="","",(IF(H50&lt;&gt;I50,(H50*100)&amp;"/"&amp;I50*100,H50*100)))</f>
        <v/>
      </c>
      <c r="F62" s="259" t="str">
        <f>IF(G4="","",(IF(J50&lt;&gt;K50,(J50*100)&amp;"/"&amp;K50*100,J50*100)))</f>
        <v/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str">
        <f>IF(E4="","",(IF(F51&lt;&gt;G51,(F51*100)&amp;"/"&amp;G51*100,F51*100)))</f>
        <v/>
      </c>
      <c r="E63" s="259" t="str">
        <f>IF(F4="","",(IF(H51&lt;&gt;I51,(H51*100)&amp;"/"&amp;I51*100,H51*100)))</f>
        <v/>
      </c>
      <c r="F63" s="259" t="str">
        <f>IF(G4="","",(IF(J51&lt;&gt;K51,(J51*100)&amp;"/"&amp;K51*100,J51*100)))</f>
        <v/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str">
        <f>IF(E4="","",(IF(F52&lt;&gt;G52,(F52*100)&amp;"/"&amp;G52*100,F52*100)))</f>
        <v/>
      </c>
      <c r="E64" s="259" t="str">
        <f>IF(F4="","",(IF(H52&lt;&gt;I52,(H52*100)&amp;"/"&amp;I52*100,H52*100)))</f>
        <v/>
      </c>
      <c r="F64" s="259" t="str">
        <f>IF(G4="","",(IF(J52&lt;&gt;K52,(J52*100)&amp;"/"&amp;K52*100,J52*100)))</f>
        <v/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str">
        <f>IF(E4="","",(IF(F53&lt;&gt;G53,(F53*100)&amp;"/"&amp;G53*100,F53*100)))</f>
        <v/>
      </c>
      <c r="E65" s="259" t="str">
        <f>IF(F4="","",(IF(H53&lt;&gt;I53,(H53*100)&amp;"/"&amp;I53*100,H53*100)))</f>
        <v/>
      </c>
      <c r="F65" s="259" t="str">
        <f>IF(G4="","",(IF(J53&lt;&gt;K53,(J53*100)&amp;"/"&amp;K53*100,J53*100)))</f>
        <v/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str">
        <f>IF(E4="","",(IF(F54&lt;&gt;G54,(F54*100)&amp;"/"&amp;G54*100,F54*100)))</f>
        <v/>
      </c>
      <c r="E66" s="259" t="str">
        <f>IF(F4="","",(IF(H54&lt;&gt;I54,(H54*100)&amp;"/"&amp;I54*100,H54*100)))</f>
        <v/>
      </c>
      <c r="F66" s="259" t="str">
        <f>IF(G4="","",(IF(J54&lt;&gt;K54,(J54*100)&amp;"/"&amp;K54*100,J54*100)))</f>
        <v/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str">
        <f>IF(E4="","",(IF(F55&lt;&gt;G55,(F55*100)&amp;"/"&amp;G55*100,F55*100)))</f>
        <v/>
      </c>
      <c r="E67" s="259" t="str">
        <f>IF(F4="","",(IF(H55&lt;&gt;I55,(H55*100)&amp;"/"&amp;I55*100,H55*100)))</f>
        <v/>
      </c>
      <c r="F67" s="259" t="str">
        <f>IF(G4="","",(IF(J55&lt;&gt;K55,(J55*100)&amp;"/"&amp;K55*100,J55*100)))</f>
        <v/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>
        <f>IF(E4=0,"",(IF(F56&lt;&gt;G56,(F56*100)&amp;"/"&amp;G56*100,F56*100)))</f>
        <v>0</v>
      </c>
      <c r="E68" s="259">
        <f>IF(F4=0,"",(IF(H56&lt;&gt;I56,(H56*100)&amp;"/"&amp;I56*100,H56*100)))</f>
        <v>0</v>
      </c>
      <c r="F68" s="259">
        <f>IF(G4=0,"",(IF(J56&lt;&gt;K56,(J56*100)&amp;"/"&amp;K56*100,J56*100)))</f>
        <v>0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>
        <f>IF(E13&lt;=0.5,G56*100,D68)</f>
        <v>0</v>
      </c>
      <c r="E69" s="259">
        <f>IF(F13&lt;=0.5,I56*100,E68)</f>
        <v>0</v>
      </c>
      <c r="F69" s="259">
        <f>IF(G13=0.5,K56*100,F68)</f>
        <v>0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>
        <f>IF(E13=1,G56*100,D69)</f>
        <v>0</v>
      </c>
      <c r="E70" s="259">
        <f>IF(F13=0.5,I56*100,E69)</f>
        <v>0</v>
      </c>
      <c r="F70" s="259">
        <f>IF(G13=1,K56*100,F68)</f>
        <v>0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2">
      <c r="A89" s="4" t="s">
        <v>91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>
        <f>'Subcontract 1'!$L$137</f>
        <v>0.1</v>
      </c>
      <c r="C91" s="26">
        <f>'Subcontract 1'!$L$137</f>
        <v>0.1</v>
      </c>
      <c r="D91" s="26">
        <f>'Subcontract 1'!$L$137</f>
        <v>0.1</v>
      </c>
      <c r="E91" s="26">
        <f>'Subcontract 1'!$L$137</f>
        <v>0.1</v>
      </c>
      <c r="F91" s="26">
        <f>'Subcontract 1'!$L$137</f>
        <v>0.1</v>
      </c>
      <c r="G91" s="26">
        <f>'Subcontract 1'!$L$137</f>
        <v>0.1</v>
      </c>
      <c r="H91" s="26">
        <f>'Subcontract 1'!$L$137</f>
        <v>0.1</v>
      </c>
      <c r="I91" s="26">
        <f>'Subcontract 1'!$L$137</f>
        <v>0.1</v>
      </c>
      <c r="J91" s="26">
        <f>'Subcontract 1'!$L$137</f>
        <v>0.1</v>
      </c>
      <c r="K91" s="26">
        <f>'Subcontract 1'!$L$137</f>
        <v>0.1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IF('Subcontract 1'!#REF!='W2'!A86,'W2'!B86,IF('Subcontract 1'!#REF!='W2'!A87,'W2'!B87,IF('Subcontract 1'!#REF!='W2'!A88,'W2'!B88,IF('Subcontract 1'!#REF!='W2'!A89,'W2'!B89,IF('Subcontract 1'!#REF!='W2'!A90,'W2'!B90,IF('Subcontract 1'!#REF!='W2'!A91,'W2'!B91))))))</f>
        <v>#REF!</v>
      </c>
      <c r="C97" s="37" t="e">
        <f>IF('Subcontract 1'!#REF!='W2'!A86,'W2'!C86,IF('Subcontract 1'!#REF!='W2'!A87,'W2'!C87,IF('Subcontract 1'!#REF!='W2'!A88,'W2'!C88,IF('Subcontract 1'!#REF!='W2'!A89,'W2'!C89,IF('Subcontract 1'!#REF!='W2'!A90,'W2'!C90,IF('Subcontract 1'!#REF!='W2'!A91,'W2'!C91))))))</f>
        <v>#REF!</v>
      </c>
      <c r="D97" s="37" t="e">
        <f>IF('Subcontract 1'!#REF!='W2'!$A$86,'W2'!D86,IF('Subcontract 1'!#REF!='W2'!$A$87,'W2'!D87,IF('Subcontract 1'!#REF!='W2'!$A$88,'W2'!D88,IF('Subcontract 1'!#REF!='W2'!$A$89,'W2'!D89,IF('Subcontract 1'!#REF!='W2'!$A$90,'W2'!D90,IF('Subcontract 1'!#REF!='W2'!$A$91,'W2'!D91))))))</f>
        <v>#REF!</v>
      </c>
      <c r="E97" s="37" t="e">
        <f>IF('Subcontract 1'!#REF!='W2'!$A$86,'W2'!E86,IF('Subcontract 1'!#REF!='W2'!$A$87,'W2'!E87,IF('Subcontract 1'!#REF!='W2'!$A$88,'W2'!E88,IF('Subcontract 1'!#REF!='W2'!$A$89,'W2'!E89,IF('Subcontract 1'!#REF!='W2'!$A$90,'W2'!E90,IF('Subcontract 1'!#REF!='W2'!$A$91,'W2'!E91))))))</f>
        <v>#REF!</v>
      </c>
      <c r="F97" s="37" t="e">
        <f>IF('Subcontract 1'!#REF!='W2'!$A$86,'W2'!F86,IF('Subcontract 1'!#REF!='W2'!$A$87,'W2'!F87,IF('Subcontract 1'!#REF!='W2'!$A$88,'W2'!F88,IF('Subcontract 1'!#REF!='W2'!$A$89,'W2'!F89,IF('Subcontract 1'!#REF!='W2'!$A$90,'W2'!F90,IF('Subcontract 1'!#REF!='W2'!$A$91,'W2'!F91))))))</f>
        <v>#REF!</v>
      </c>
      <c r="G97" s="37" t="e">
        <f>IF('Subcontract 1'!#REF!='W2'!$A$86,'W2'!G86,IF('Subcontract 1'!#REF!='W2'!$A$87,'W2'!G87,IF('Subcontract 1'!#REF!='W2'!$A$88,'W2'!G88,IF('Subcontract 1'!#REF!='W2'!$A$89,'W2'!G89,IF('Subcontract 1'!#REF!='W2'!$A$90,'W2'!G90,IF('Subcontract 1'!#REF!='W2'!$A$91,'W2'!G91))))))</f>
        <v>#REF!</v>
      </c>
      <c r="H97" s="37" t="e">
        <f>IF('Subcontract 1'!#REF!='W2'!$A$86,'W2'!H86,IF('Subcontract 1'!#REF!='W2'!$A$87,'W2'!H87,IF('Subcontract 1'!#REF!='W2'!$A$88,'W2'!H88,IF('Subcontract 1'!#REF!='W2'!$A$89,'W2'!H89,IF('Subcontract 1'!#REF!='W2'!$A$90,'W2'!H90,IF('Subcontract 1'!#REF!='W2'!$A$91,'W2'!H91))))))</f>
        <v>#REF!</v>
      </c>
      <c r="I97" s="37" t="e">
        <f>IF('Subcontract 1'!#REF!='W2'!$A$86,'W2'!I86,IF('Subcontract 1'!#REF!='W2'!$A$87,'W2'!I87,IF('Subcontract 1'!#REF!='W2'!$A$88,'W2'!I88,IF('Subcontract 1'!#REF!='W2'!$A$89,'W2'!I89,IF('Subcontract 1'!#REF!='W2'!$A$90,'W2'!I90,IF('Subcontract 1'!#REF!='W2'!$A$91,'W2'!I91))))))</f>
        <v>#REF!</v>
      </c>
      <c r="J97" s="37" t="e">
        <f>IF('Subcontract 1'!#REF!='W2'!$A$86,'W2'!J86,IF('Subcontract 1'!#REF!='W2'!$A$87,'W2'!J87,IF('Subcontract 1'!#REF!='W2'!$A$88,'W2'!J88,IF('Subcontract 1'!#REF!='W2'!$A$89,'W2'!J89,IF('Subcontract 1'!#REF!='W2'!$A$90,'W2'!J90,IF('Subcontract 1'!#REF!='W2'!$A$91,'W2'!J91))))))</f>
        <v>#REF!</v>
      </c>
      <c r="K97" s="37" t="e">
        <f>IF('Subcontract 1'!#REF!='W2'!$A$86,'W2'!K86,IF('Subcontract 1'!#REF!='W2'!$A$87,'W2'!K87,IF('Subcontract 1'!#REF!='W2'!$A$88,'W2'!K88,IF('Subcontract 1'!#REF!='W2'!$A$89,'W2'!K89,IF('Subcontract 1'!#REF!='W2'!$A$90,'W2'!K90,IF('Subcontract 1'!#REF!='W2'!$A$91,'W2'!K91))))))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'Subcontract 1'!#REF!</f>
        <v>#REF!</v>
      </c>
      <c r="B104" s="4" t="e">
        <f>IF('Subcontract 1'!#REF!="non-UC","No","Yes")</f>
        <v>#REF!</v>
      </c>
      <c r="C104" s="4" t="e">
        <f>'Subcontract 1'!#REF!+(IF('Subcontract 1'!#REF!="IC of Above",'Subcontract 1'!#REF!,0))</f>
        <v>#REF!</v>
      </c>
      <c r="D104" s="4" t="e">
        <f>'Subcontract 1'!#REF!+(IF('Subcontract 1'!#REF!="IC of Above",'Subcontract 1'!#REF!,0))</f>
        <v>#REF!</v>
      </c>
      <c r="E104" s="4" t="e">
        <f>'Subcontract 1'!#REF!+(IF('Subcontract 1'!#REF!="IC of Above",'Subcontract 1'!#REF!,0))</f>
        <v>#REF!</v>
      </c>
      <c r="F104" s="4" t="e">
        <f>'Subcontract 1'!#REF!+(IF('Subcontract 1'!#REF!="IC of Above",'Subcontract 1'!#REF!,0))</f>
        <v>#REF!</v>
      </c>
      <c r="G104" s="4" t="e">
        <f>'Subcontract 1'!#REF!+(IF('Subcontract 1'!#REF!="IC of Above",'Subcontract 1'!#REF!,0))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'Subcontract 1'!#REF!</f>
        <v>#REF!</v>
      </c>
      <c r="B105" s="4" t="e">
        <f>IF('Subcontract 1'!#REF!="non-UC","No",IF('Subcontract 1'!K27="IC of Above","Yes","Yes"))</f>
        <v>#REF!</v>
      </c>
      <c r="C105" s="4" t="e">
        <f>IF('Subcontract 1'!#REF!="IC of Above",0,'Subcontract 1'!#REF!+IF('Subcontract 1'!#REF!="IC of Above",'Subcontract 1'!#REF!,0))</f>
        <v>#REF!</v>
      </c>
      <c r="D105" s="4" t="e">
        <f>IF('Subcontract 1'!#REF!="IC of Above",0,'Subcontract 1'!#REF!+IF('Subcontract 1'!#REF!="IC of Above",'Subcontract 1'!#REF!,0))</f>
        <v>#REF!</v>
      </c>
      <c r="E105" s="4" t="e">
        <f>IF('Subcontract 1'!#REF!="IC of Above",0,'Subcontract 1'!#REF!+IF('Subcontract 1'!#REF!="IC of Above",'Subcontract 1'!#REF!,0))</f>
        <v>#REF!</v>
      </c>
      <c r="F105" s="4" t="e">
        <f>IF('Subcontract 1'!#REF!="IC of Above",0,'Subcontract 1'!#REF!+IF('Subcontract 1'!#REF!="IC of Above",'Subcontract 1'!#REF!,0))</f>
        <v>#REF!</v>
      </c>
      <c r="G105" s="4" t="e">
        <f>IF('Subcontract 1'!#REF!="IC of Above",0,'Subcontract 1'!#REF!+IF('Subcontract 1'!#REF!="IC of Above",'Subcontract 1'!#REF!,0))</f>
        <v>#REF!</v>
      </c>
      <c r="H105" s="4" t="e">
        <f t="shared" si="23"/>
        <v>#REF!</v>
      </c>
    </row>
    <row r="106" spans="1:11" x14ac:dyDescent="0.2">
      <c r="A106" s="40" t="e">
        <f>'Subcontract 1'!#REF!</f>
        <v>#REF!</v>
      </c>
      <c r="B106" s="4" t="e">
        <f>IF('Subcontract 1'!#REF!="non-UC","No","Yes")</f>
        <v>#REF!</v>
      </c>
      <c r="C106" s="4" t="e">
        <f>IF('Subcontract 1'!#REF!="IC of Above",0,'Subcontract 1'!#REF!+IF('Subcontract 1'!#REF!="IC of Above",'Subcontract 1'!#REF!,0))</f>
        <v>#REF!</v>
      </c>
      <c r="D106" s="4" t="e">
        <f>IF('Subcontract 1'!#REF!="IC of Above",0,'Subcontract 1'!#REF!+IF('Subcontract 1'!#REF!="IC of Above",'Subcontract 1'!#REF!,0))</f>
        <v>#REF!</v>
      </c>
      <c r="E106" s="4" t="e">
        <f>IF('Subcontract 1'!#REF!="IC of Above",0,'Subcontract 1'!#REF!+IF('Subcontract 1'!#REF!="IC of Above",'Subcontract 1'!#REF!,0))</f>
        <v>#REF!</v>
      </c>
      <c r="F106" s="4" t="e">
        <f>IF('Subcontract 1'!#REF!="IC of Above",0,'Subcontract 1'!#REF!+IF('Subcontract 1'!#REF!="IC of Above",'Subcontract 1'!#REF!,0))</f>
        <v>#REF!</v>
      </c>
      <c r="G106" s="4" t="e">
        <f>IF('Subcontract 1'!#REF!="IC of Above",0,'Subcontract 1'!#REF!+IF('Subcontract 1'!#REF!="IC of Above",'Subcontract 1'!#REF!,0))</f>
        <v>#REF!</v>
      </c>
      <c r="H106" s="4" t="e">
        <f t="shared" si="23"/>
        <v>#REF!</v>
      </c>
    </row>
    <row r="107" spans="1:11" x14ac:dyDescent="0.2">
      <c r="A107" s="40" t="e">
        <f>'Subcontract 1'!#REF!</f>
        <v>#REF!</v>
      </c>
      <c r="B107" s="4" t="e">
        <f>IF('Subcontract 1'!#REF!="non-UC","No","Yes")</f>
        <v>#REF!</v>
      </c>
      <c r="C107" s="4" t="e">
        <f>IF('Subcontract 1'!#REF!="IC of Above",0,'Subcontract 1'!#REF!+IF('Subcontract 1'!#REF!="IC of Above",'Subcontract 1'!#REF!,0))</f>
        <v>#REF!</v>
      </c>
      <c r="D107" s="4" t="e">
        <f>IF('Subcontract 1'!#REF!="IC of Above",0,'Subcontract 1'!#REF!+IF('Subcontract 1'!#REF!="IC of Above",'Subcontract 1'!#REF!,0))</f>
        <v>#REF!</v>
      </c>
      <c r="E107" s="4" t="e">
        <f>IF('Subcontract 1'!#REF!="IC of Above",0,'Subcontract 1'!#REF!+IF('Subcontract 1'!#REF!="IC of Above",'Subcontract 1'!#REF!,0))</f>
        <v>#REF!</v>
      </c>
      <c r="F107" s="4" t="e">
        <f>IF('Subcontract 1'!#REF!="IC of Above",0,'Subcontract 1'!#REF!+IF('Subcontract 1'!#REF!="IC of Above",'Subcontract 1'!#REF!,0))</f>
        <v>#REF!</v>
      </c>
      <c r="G107" s="4" t="e">
        <f>IF('Subcontract 1'!#REF!="IC of Above",0,'Subcontract 1'!#REF!+IF('Subcontract 1'!#REF!="IC of Above",'Subcontract 1'!#REF!,0))</f>
        <v>#REF!</v>
      </c>
      <c r="H107" s="4" t="e">
        <f t="shared" si="23"/>
        <v>#REF!</v>
      </c>
    </row>
    <row r="108" spans="1:11" x14ac:dyDescent="0.2">
      <c r="A108" s="40" t="e">
        <f>'Subcontract 1'!#REF!</f>
        <v>#REF!</v>
      </c>
      <c r="B108" s="4" t="e">
        <f>IF('Subcontract 1'!#REF!="non-UC","No","Yes")</f>
        <v>#REF!</v>
      </c>
      <c r="C108" s="4" t="e">
        <f>IF('Subcontract 1'!#REF!="IC of Above",0,'Subcontract 1'!#REF!+IF('Subcontract 1'!#REF!="IC of Above",'Subcontract 1'!#REF!,0))</f>
        <v>#REF!</v>
      </c>
      <c r="D108" s="4" t="e">
        <f>IF('Subcontract 1'!#REF!="IC of Above",0,'Subcontract 1'!#REF!+IF('Subcontract 1'!#REF!="IC of Above",'Subcontract 1'!#REF!,0))</f>
        <v>#REF!</v>
      </c>
      <c r="E108" s="4" t="e">
        <f>IF('Subcontract 1'!#REF!="IC of Above",0,'Subcontract 1'!#REF!+IF('Subcontract 1'!#REF!="IC of Above",'Subcontract 1'!#REF!,0))</f>
        <v>#REF!</v>
      </c>
      <c r="F108" s="4" t="e">
        <f>IF('Subcontract 1'!#REF!="IC of Above",0,'Subcontract 1'!#REF!+IF('Subcontract 1'!#REF!="IC of Above",'Subcontract 1'!#REF!,0))</f>
        <v>#REF!</v>
      </c>
      <c r="G108" s="4" t="e">
        <f>IF('Subcontract 1'!#REF!="IC of Above",0,'Subcontract 1'!#REF!+IF('Subcontract 1'!#REF!="IC of Above",'Subcontract 1'!#REF!,0))</f>
        <v>#REF!</v>
      </c>
      <c r="H108" s="4" t="e">
        <f t="shared" si="23"/>
        <v>#REF!</v>
      </c>
    </row>
    <row r="109" spans="1:11" x14ac:dyDescent="0.2">
      <c r="A109" s="40" t="e">
        <f>'Subcontract 1'!#REF!</f>
        <v>#REF!</v>
      </c>
      <c r="B109" s="4" t="e">
        <f>IF('Subcontract 1'!#REF!="non-UC","No","Yes")</f>
        <v>#REF!</v>
      </c>
      <c r="C109" s="4" t="e">
        <f>IF('Subcontract 1'!#REF!="IC of Above",0,'Subcontract 1'!#REF!+IF('Subcontract 1'!#REF!="IC of Above",'Subcontract 1'!#REF!,0))</f>
        <v>#REF!</v>
      </c>
      <c r="D109" s="4" t="e">
        <f>IF('Subcontract 1'!#REF!="IC of Above",0,'Subcontract 1'!#REF!+IF('Subcontract 1'!#REF!="IC of Above",'Subcontract 1'!#REF!,0))</f>
        <v>#REF!</v>
      </c>
      <c r="E109" s="4" t="e">
        <f>IF('Subcontract 1'!#REF!="IC of Above",0,'Subcontract 1'!#REF!+IF('Subcontract 1'!#REF!="IC of Above",'Subcontract 1'!#REF!,0))</f>
        <v>#REF!</v>
      </c>
      <c r="F109" s="4" t="e">
        <f>IF('Subcontract 1'!#REF!="IC of Above",0,'Subcontract 1'!#REF!+IF('Subcontract 1'!#REF!="IC of Above",'Subcontract 1'!#REF!,0))</f>
        <v>#REF!</v>
      </c>
      <c r="G109" s="4" t="e">
        <f>IF('Subcontract 1'!#REF!="IC of Above",0,'Subcontract 1'!#REF!+IF('Subcontract 1'!#REF!="IC of Above",'Subcontract 1'!#REF!,0))</f>
        <v>#REF!</v>
      </c>
      <c r="H109" s="4" t="e">
        <f t="shared" si="23"/>
        <v>#REF!</v>
      </c>
    </row>
    <row r="110" spans="1:11" x14ac:dyDescent="0.2">
      <c r="A110" s="40" t="e">
        <f>'Subcontract 1'!#REF!</f>
        <v>#REF!</v>
      </c>
      <c r="B110" s="4" t="e">
        <f>IF('Subcontract 1'!#REF!="non-UC","No","Yes")</f>
        <v>#REF!</v>
      </c>
      <c r="C110" s="4" t="e">
        <f>IF('Subcontract 1'!#REF!="IC of Above",0,'Subcontract 1'!#REF!+IF('Subcontract 1'!#REF!="IC of Above",'Subcontract 1'!#REF!,0))</f>
        <v>#REF!</v>
      </c>
      <c r="D110" s="4" t="e">
        <f>IF('Subcontract 1'!#REF!="IC of Above",0,'Subcontract 1'!#REF!+IF('Subcontract 1'!#REF!="IC of Above",'Subcontract 1'!#REF!,0))</f>
        <v>#REF!</v>
      </c>
      <c r="E110" s="4" t="e">
        <f>IF('Subcontract 1'!#REF!="IC of Above",0,'Subcontract 1'!#REF!+IF('Subcontract 1'!#REF!="IC of Above",'Subcontract 1'!#REF!,0))</f>
        <v>#REF!</v>
      </c>
      <c r="F110" s="4" t="e">
        <f>IF('Subcontract 1'!#REF!="IC of Above",0,'Subcontract 1'!#REF!+IF('Subcontract 1'!#REF!="IC of Above",'Subcontract 1'!#REF!,0))</f>
        <v>#REF!</v>
      </c>
      <c r="G110" s="4" t="e">
        <f>IF('Subcontract 1'!#REF!="IC of Above",0,'Subcontract 1'!#REF!+IF('Subcontract 1'!#REF!="IC of Above",'Subcontract 1'!#REF!,0))</f>
        <v>#REF!</v>
      </c>
      <c r="H110" s="4" t="e">
        <f t="shared" si="23"/>
        <v>#REF!</v>
      </c>
    </row>
    <row r="111" spans="1:11" x14ac:dyDescent="0.2">
      <c r="A111" s="40" t="e">
        <f>'Subcontract 1'!#REF!</f>
        <v>#REF!</v>
      </c>
      <c r="B111" s="4" t="e">
        <f>IF('Subcontract 1'!#REF!="non-UC","No","Yes")</f>
        <v>#REF!</v>
      </c>
      <c r="C111" s="4" t="e">
        <f>IF('Subcontract 1'!#REF!="IC of Above",0,'Subcontract 1'!#REF!+IF('Subcontract 1'!#REF!="IC of Above",'Subcontract 1'!#REF!,0))</f>
        <v>#REF!</v>
      </c>
      <c r="D111" s="4" t="e">
        <f>IF('Subcontract 1'!#REF!="IC of Above",0,'Subcontract 1'!#REF!+IF('Subcontract 1'!#REF!="IC of Above",'Subcontract 1'!#REF!,0))</f>
        <v>#REF!</v>
      </c>
      <c r="E111" s="4" t="e">
        <f>IF('Subcontract 1'!#REF!="IC of Above",0,'Subcontract 1'!#REF!+IF('Subcontract 1'!#REF!="IC of Above",'Subcontract 1'!#REF!,0))</f>
        <v>#REF!</v>
      </c>
      <c r="F111" s="4" t="e">
        <f>IF('Subcontract 1'!#REF!="IC of Above",0,'Subcontract 1'!#REF!+IF('Subcontract 1'!#REF!="IC of Above",'Subcontract 1'!#REF!,0))</f>
        <v>#REF!</v>
      </c>
      <c r="G111" s="4" t="e">
        <f>IF('Subcontract 1'!#REF!="IC of Above",0,'Subcontract 1'!#REF!+IF('Subcontract 1'!#REF!="IC of Above",'Subcontract 1'!#REF!,0))</f>
        <v>#REF!</v>
      </c>
      <c r="H111" s="4" t="e">
        <f t="shared" si="23"/>
        <v>#REF!</v>
      </c>
    </row>
    <row r="112" spans="1:11" x14ac:dyDescent="0.2">
      <c r="A112" s="40" t="e">
        <f>'Subcontract 1'!#REF!</f>
        <v>#REF!</v>
      </c>
      <c r="B112" s="4" t="e">
        <f>IF('Subcontract 1'!#REF!="non-UC","No","Yes")</f>
        <v>#REF!</v>
      </c>
      <c r="C112" s="4" t="e">
        <f>IF('Subcontract 1'!#REF!="IC of Above",0,'Subcontract 1'!#REF!+IF('Subcontract 1'!#REF!="IC of Above",'Subcontract 1'!#REF!,0))</f>
        <v>#REF!</v>
      </c>
      <c r="D112" s="4" t="e">
        <f>IF('Subcontract 1'!#REF!="IC of Above",0,'Subcontract 1'!#REF!+IF('Subcontract 1'!#REF!="IC of Above",'Subcontract 1'!#REF!,0))</f>
        <v>#REF!</v>
      </c>
      <c r="E112" s="4" t="e">
        <f>IF('Subcontract 1'!#REF!="IC of Above",0,'Subcontract 1'!#REF!+IF('Subcontract 1'!#REF!="IC of Above",'Subcontract 1'!#REF!,0))</f>
        <v>#REF!</v>
      </c>
      <c r="F112" s="4" t="e">
        <f>IF('Subcontract 1'!#REF!="IC of Above",0,'Subcontract 1'!#REF!+IF('Subcontract 1'!#REF!="IC of Above",'Subcontract 1'!#REF!,0))</f>
        <v>#REF!</v>
      </c>
      <c r="G112" s="4" t="e">
        <f>IF('Subcontract 1'!#REF!="IC of Above",0,'Subcontract 1'!#REF!+IF('Subcontract 1'!#REF!="IC of Above",'Subcontract 1'!#REF!,0))</f>
        <v>#REF!</v>
      </c>
      <c r="H112" s="4" t="e">
        <f t="shared" si="23"/>
        <v>#REF!</v>
      </c>
    </row>
    <row r="113" spans="1:8" x14ac:dyDescent="0.2">
      <c r="A113" s="40" t="e">
        <f>'Subcontract 1'!#REF!</f>
        <v>#REF!</v>
      </c>
      <c r="B113" s="4" t="e">
        <f>IF('Subcontract 1'!#REF!="non-UC","No","Yes")</f>
        <v>#REF!</v>
      </c>
      <c r="C113" s="4" t="e">
        <f>IF('Subcontract 1'!#REF!="IC of Above",0,'Subcontract 1'!#REF!+IF('Subcontract 1'!#REF!="IC of Above",'Subcontract 1'!#REF!,0))</f>
        <v>#REF!</v>
      </c>
      <c r="D113" s="4" t="e">
        <f>IF('Subcontract 1'!#REF!="IC of Above",0,'Subcontract 1'!#REF!+IF('Subcontract 1'!#REF!="IC of Above",'Subcontract 1'!#REF!,0))</f>
        <v>#REF!</v>
      </c>
      <c r="E113" s="4" t="e">
        <f>IF('Subcontract 1'!#REF!="IC of Above",0,'Subcontract 1'!#REF!+IF('Subcontract 1'!#REF!="IC of Above",'Subcontract 1'!#REF!,0))</f>
        <v>#REF!</v>
      </c>
      <c r="F113" s="4" t="e">
        <f>IF('Subcontract 1'!#REF!="IC of Above",0,'Subcontract 1'!#REF!+IF('Subcontract 1'!#REF!="IC of Above",'Subcontract 1'!#REF!,0))</f>
        <v>#REF!</v>
      </c>
      <c r="G113" s="4" t="e">
        <f>IF('Subcontract 1'!#REF!="IC of Above",0,'Subcontract 1'!#REF!+IF('Subcontract 1'!#REF!="IC of Above",'Subcontract 1'!#REF!,0))</f>
        <v>#REF!</v>
      </c>
      <c r="H113" s="4" t="e">
        <f t="shared" si="23"/>
        <v>#REF!</v>
      </c>
    </row>
    <row r="114" spans="1:8" x14ac:dyDescent="0.2">
      <c r="A114" s="40" t="e">
        <f>'Subcontract 1'!#REF!</f>
        <v>#REF!</v>
      </c>
      <c r="B114" s="4" t="e">
        <f>IF('Subcontract 1'!#REF!="non-UC","No","Yes")</f>
        <v>#REF!</v>
      </c>
      <c r="C114" s="4" t="e">
        <f>IF('Subcontract 1'!#REF!="IC of Above",0,'Subcontract 1'!#REF!+IF('Subcontract 1'!#REF!="IC of Above",'Subcontract 1'!#REF!,0))</f>
        <v>#REF!</v>
      </c>
      <c r="D114" s="4" t="e">
        <f>IF('Subcontract 1'!#REF!="IC of Above",0,'Subcontract 1'!#REF!+IF('Subcontract 1'!#REF!="IC of Above",'Subcontract 1'!#REF!,0))</f>
        <v>#REF!</v>
      </c>
      <c r="E114" s="4" t="e">
        <f>IF('Subcontract 1'!#REF!="IC of Above",0,'Subcontract 1'!#REF!+IF('Subcontract 1'!#REF!="IC of Above",'Subcontract 1'!#REF!,0))</f>
        <v>#REF!</v>
      </c>
      <c r="F114" s="4" t="e">
        <f>IF('Subcontract 1'!#REF!="IC of Above",0,'Subcontract 1'!#REF!+IF('Subcontract 1'!#REF!="IC of Above",'Subcontract 1'!#REF!,0))</f>
        <v>#REF!</v>
      </c>
      <c r="G114" s="4" t="e">
        <f>IF('Subcontract 1'!#REF!="IC of Above",0,'Subcontract 1'!#REF!+IF('Subcontract 1'!#REF!="IC of Above",'Subcontract 1'!#REF!,0))</f>
        <v>#REF!</v>
      </c>
      <c r="H114" s="4" t="e">
        <f t="shared" si="23"/>
        <v>#REF!</v>
      </c>
    </row>
    <row r="115" spans="1:8" x14ac:dyDescent="0.2">
      <c r="A115" s="40" t="e">
        <f>'Subcontract 1'!#REF!</f>
        <v>#REF!</v>
      </c>
      <c r="B115" s="4" t="e">
        <f>IF('Subcontract 1'!#REF!="non-UC","No","Yes")</f>
        <v>#REF!</v>
      </c>
      <c r="C115" s="4" t="e">
        <f>IF('Subcontract 1'!#REF!="IC of Above",0,'Subcontract 1'!#REF!+IF('Subcontract 1'!#REF!="IC of Above",'Subcontract 1'!#REF!,0))</f>
        <v>#REF!</v>
      </c>
      <c r="D115" s="4" t="e">
        <f>IF('Subcontract 1'!#REF!="IC of Above",0,'Subcontract 1'!#REF!+IF('Subcontract 1'!#REF!="IC of Above",'Subcontract 1'!#REF!,0))</f>
        <v>#REF!</v>
      </c>
      <c r="E115" s="4" t="e">
        <f>IF('Subcontract 1'!#REF!="IC of Above",0,'Subcontract 1'!#REF!+IF('Subcontract 1'!#REF!="IC of Above",'Subcontract 1'!#REF!,0))</f>
        <v>#REF!</v>
      </c>
      <c r="F115" s="4" t="e">
        <f>IF('Subcontract 1'!#REF!="IC of Above",0,'Subcontract 1'!#REF!+IF('Subcontract 1'!#REF!="IC of Above",'Subcontract 1'!#REF!,0))</f>
        <v>#REF!</v>
      </c>
      <c r="G115" s="4" t="e">
        <f>IF('Subcontract 1'!#REF!="IC of Above",0,'Subcontract 1'!#REF!+IF('Subcontract 1'!#REF!="IC of Above",'Subcontract 1'!#REF!,0))</f>
        <v>#REF!</v>
      </c>
      <c r="H115" s="4" t="e">
        <f t="shared" si="23"/>
        <v>#REF!</v>
      </c>
    </row>
    <row r="116" spans="1:8" x14ac:dyDescent="0.2">
      <c r="A116" s="40" t="e">
        <f>'Subcontract 1'!#REF!</f>
        <v>#REF!</v>
      </c>
      <c r="B116" s="4" t="e">
        <f>IF('Subcontract 1'!#REF!="non-UC","No","Yes")</f>
        <v>#REF!</v>
      </c>
      <c r="C116" s="4" t="e">
        <f>IF('Subcontract 1'!#REF!="IC of Above",0,'Subcontract 1'!#REF!+IF('Subcontract 1'!#REF!="IC of Above",'Subcontract 1'!#REF!,0))</f>
        <v>#REF!</v>
      </c>
      <c r="D116" s="4" t="e">
        <f>IF('Subcontract 1'!#REF!="IC of Above",0,'Subcontract 1'!#REF!+IF('Subcontract 1'!#REF!="IC of Above",'Subcontract 1'!#REF!,0))</f>
        <v>#REF!</v>
      </c>
      <c r="E116" s="4" t="e">
        <f>IF('Subcontract 1'!#REF!="IC of Above",0,'Subcontract 1'!#REF!+IF('Subcontract 1'!#REF!="IC of Above",'Subcontract 1'!#REF!,0))</f>
        <v>#REF!</v>
      </c>
      <c r="F116" s="4" t="e">
        <f>IF('Subcontract 1'!#REF!="IC of Above",0,'Subcontract 1'!#REF!+IF('Subcontract 1'!#REF!="IC of Above",'Subcontract 1'!#REF!,0))</f>
        <v>#REF!</v>
      </c>
      <c r="G116" s="4" t="e">
        <f>IF('Subcontract 1'!#REF!="IC of Above",0,'Subcontract 1'!#REF!+IF('Subcontract 1'!#REF!="IC of Above",'Subcontract 1'!#REF!,0))</f>
        <v>#REF!</v>
      </c>
      <c r="H116" s="4" t="e">
        <f t="shared" si="23"/>
        <v>#REF!</v>
      </c>
    </row>
    <row r="117" spans="1:8" x14ac:dyDescent="0.2">
      <c r="A117" s="40" t="e">
        <f>'Subcontract 1'!#REF!</f>
        <v>#REF!</v>
      </c>
      <c r="B117" s="4" t="e">
        <f>IF('Subcontract 1'!#REF!="non-UC","No","Yes")</f>
        <v>#REF!</v>
      </c>
      <c r="C117" s="4" t="e">
        <f>IF('Subcontract 1'!#REF!="IC of Above",0,'Subcontract 1'!#REF!+IF('Subcontract 1'!#REF!="IC of Above",'Subcontract 1'!#REF!,0))</f>
        <v>#REF!</v>
      </c>
      <c r="D117" s="4" t="e">
        <f>IF('Subcontract 1'!#REF!="IC of Above",0,'Subcontract 1'!#REF!+IF('Subcontract 1'!#REF!="IC of Above",'Subcontract 1'!#REF!,0))</f>
        <v>#REF!</v>
      </c>
      <c r="E117" s="4" t="e">
        <f>IF('Subcontract 1'!#REF!="IC of Above",0,'Subcontract 1'!#REF!+IF('Subcontract 1'!#REF!="IC of Above",'Subcontract 1'!#REF!,0))</f>
        <v>#REF!</v>
      </c>
      <c r="F117" s="4" t="e">
        <f>IF('Subcontract 1'!#REF!="IC of Above",0,'Subcontract 1'!#REF!+IF('Subcontract 1'!#REF!="IC of Above",'Subcontract 1'!#REF!,0))</f>
        <v>#REF!</v>
      </c>
      <c r="G117" s="4" t="e">
        <f>IF('Subcontract 1'!#REF!="IC of Above",0,'Subcontract 1'!#REF!+IF('Subcontract 1'!#REF!="IC of Above",'Subcontract 1'!#REF!,0))</f>
        <v>#REF!</v>
      </c>
      <c r="H117" s="4" t="e">
        <f t="shared" si="23"/>
        <v>#REF!</v>
      </c>
    </row>
    <row r="118" spans="1:8" x14ac:dyDescent="0.2">
      <c r="A118" s="40" t="e">
        <f>'Subcontract 1'!#REF!</f>
        <v>#REF!</v>
      </c>
      <c r="B118" s="4" t="e">
        <f>IF('Subcontract 1'!#REF!="non-UC","No","Yes")</f>
        <v>#REF!</v>
      </c>
      <c r="C118" s="4" t="e">
        <f>IF('Subcontract 1'!#REF!="IC of Above",0,'Subcontract 1'!#REF!+IF('Subcontract 1'!#REF!="IC of Above",'Subcontract 1'!#REF!,0))</f>
        <v>#REF!</v>
      </c>
      <c r="D118" s="4" t="e">
        <f>IF('Subcontract 1'!#REF!="IC of Above",0,'Subcontract 1'!#REF!+IF('Subcontract 1'!#REF!="IC of Above",'Subcontract 1'!#REF!,0))</f>
        <v>#REF!</v>
      </c>
      <c r="E118" s="4" t="e">
        <f>IF('Subcontract 1'!#REF!="IC of Above",0,'Subcontract 1'!#REF!+IF('Subcontract 1'!#REF!="IC of Above",'Subcontract 1'!#REF!,0))</f>
        <v>#REF!</v>
      </c>
      <c r="F118" s="4" t="e">
        <f>IF('Subcontract 1'!#REF!="IC of Above",0,'Subcontract 1'!#REF!+IF('Subcontract 1'!#REF!="IC of Above",'Subcontract 1'!#REF!,0))</f>
        <v>#REF!</v>
      </c>
      <c r="G118" s="4" t="e">
        <f>IF('Subcontract 1'!#REF!="IC of Above",0,'Subcontract 1'!#REF!+IF('Subcontract 1'!#REF!="IC of Above",'Subcontract 1'!#REF!,0))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'Subcontract 1'!#REF!</f>
        <v>#REF!</v>
      </c>
      <c r="B121" s="4" t="e">
        <f>IF('Subcontract 1'!#REF!="non-UC","No","Yes")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'Subcontract 1'!#REF!</f>
        <v>#REF!</v>
      </c>
      <c r="B122" s="4" t="e">
        <f>IF('Subcontract 1'!#REF!="non-UC","No","Yes")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'Subcontract 1'!#REF!</f>
        <v>#REF!</v>
      </c>
      <c r="B123" s="4" t="e">
        <f>IF('Subcontract 1'!#REF!="non-UC","No","Yes")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'Subcontract 1'!#REF!</f>
        <v>#REF!</v>
      </c>
      <c r="B124" s="4" t="e">
        <f>IF('Subcontract 1'!#REF!="non-UC","No","Yes")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'Subcontract 1'!#REF!</f>
        <v>#REF!</v>
      </c>
      <c r="B125" s="4" t="e">
        <f>IF('Subcontract 1'!#REF!="non-UC","No","Yes")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'Subcontract 1'!#REF!</f>
        <v>#REF!</v>
      </c>
      <c r="B126" s="4" t="e">
        <f>IF('Subcontract 1'!#REF!="non-UC","No","Yes")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'Subcontract 1'!#REF!</f>
        <v>#REF!</v>
      </c>
      <c r="B127" s="4" t="e">
        <f>IF('Subcontract 1'!#REF!="non-UC","No","Yes")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'Subcontract 1'!#REF!</f>
        <v>#REF!</v>
      </c>
      <c r="B128" s="4" t="e">
        <f>IF('Subcontract 1'!#REF!="non-UC","No","Yes")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'Subcontract 1'!#REF!</f>
        <v>#REF!</v>
      </c>
      <c r="B129" s="4" t="e">
        <f>IF('Subcontract 1'!#REF!="non-UC","No","Yes")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'Subcontract 1'!#REF!</f>
        <v>#REF!</v>
      </c>
      <c r="B130" s="4" t="e">
        <f>IF('Subcontract 1'!#REF!="non-UC","No","Yes")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'Subcontract 1'!#REF!</f>
        <v>#REF!</v>
      </c>
      <c r="B131" s="4" t="e">
        <f>IF('Subcontract 1'!#REF!="non-UC","No","Yes")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'Subcontract 1'!#REF!</f>
        <v>#REF!</v>
      </c>
      <c r="B132" s="4" t="e">
        <f>IF('Subcontract 1'!#REF!="non-UC","No","Yes")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>
        <f>'Subcontract 1'!B110</f>
        <v>0</v>
      </c>
      <c r="B133" s="4" t="e">
        <f>IF('Subcontract 1'!#REF!="non-UC","No","Yes")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'Subcontract 1'!#REF!</f>
        <v>#REF!</v>
      </c>
      <c r="B134" s="4" t="e">
        <f>IF('Subcontract 1'!#REF!="non-UC","No","Yes")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'Subcontract 1'!#REF!</f>
        <v>#REF!</v>
      </c>
      <c r="B135" s="4" t="e">
        <f>IF('Subcontract 1'!#REF!="non-UC","No","Yes")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'Subcontract 1'!#REF!</f>
        <v>#REF!</v>
      </c>
      <c r="B139" s="4" t="e">
        <f>IF('Subcontract 1'!#REF!="non-UC","No","Yes")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'Subcontract 1'!#REF!</f>
        <v>#REF!</v>
      </c>
      <c r="B140" s="4" t="e">
        <f>IF('Subcontract 1'!#REF!="non-UC","No","Yes")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'Subcontract 1'!#REF!</f>
        <v>#REF!</v>
      </c>
      <c r="B141" s="4" t="e">
        <f>IF('Subcontract 1'!#REF!="non-UC","No","Yes")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'Subcontract 1'!#REF!</f>
        <v>#REF!</v>
      </c>
      <c r="B142" s="4" t="e">
        <f>IF('Subcontract 1'!#REF!="non-UC","No","Yes")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'Subcontract 1'!#REF!</f>
        <v>#REF!</v>
      </c>
      <c r="B143" s="4" t="e">
        <f>IF('Subcontract 1'!#REF!="non-UC","No","Yes")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'Subcontract 1'!#REF!</f>
        <v>#REF!</v>
      </c>
      <c r="B144" s="4" t="e">
        <f>IF('Subcontract 1'!#REF!="non-UC","No","Yes")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'Subcontract 1'!#REF!</f>
        <v>#REF!</v>
      </c>
      <c r="B145" s="4" t="e">
        <f>IF('Subcontract 1'!#REF!="non-UC","No","Yes")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'Subcontract 1'!#REF!</f>
        <v>#REF!</v>
      </c>
      <c r="B146" s="4" t="e">
        <f>IF('Subcontract 1'!#REF!="non-UC","No","Yes")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'Subcontract 1'!#REF!</f>
        <v>#REF!</v>
      </c>
      <c r="B147" s="4" t="e">
        <f>IF('Subcontract 1'!#REF!="non-UC","No","Yes")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'Subcontract 1'!#REF!</f>
        <v>#REF!</v>
      </c>
      <c r="B148" s="4" t="e">
        <f>IF('Subcontract 1'!#REF!="non-UC","No","Yes")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'Subcontract 1'!#REF!</f>
        <v>#REF!</v>
      </c>
      <c r="B149" s="4" t="e">
        <f>IF('Subcontract 1'!#REF!="non-UC","No","Yes")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'Subcontract 1'!#REF!</f>
        <v>#REF!</v>
      </c>
      <c r="B150" s="4" t="e">
        <f>IF('Subcontract 1'!#REF!="non-UC","No","Yes")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>
        <f>'Subcontract 1'!B111</f>
        <v>0</v>
      </c>
      <c r="B151" s="4" t="e">
        <f>IF('Subcontract 1'!#REF!="non-UC","No","Yes")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>
        <f>'Subcontract 1'!B112</f>
        <v>0</v>
      </c>
      <c r="B152" s="4" t="e">
        <f>IF('Subcontract 1'!#REF!="non-UC","No","Yes")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>
        <f>'Subcontract 1'!B113</f>
        <v>0</v>
      </c>
      <c r="B153" s="4" t="e">
        <f>IF('Subcontract 1'!#REF!="non-UC","No","Yes")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'Subcontract 1'!N60+'Subcontract 1'!N71+'Subcontract 1'!N108+'Subcontract 1'!#REF!+SUM('Subcontract 1'!#REF!)+SUM('Subcontract 1'!N116:N133)+'W2'!C136</f>
        <v>#REF!</v>
      </c>
      <c r="D157" s="41" t="e">
        <f>IF(D4="",0,('Subcontract 1'!O60+'Subcontract 1'!O71+'Subcontract 1'!O108+'Subcontract 1'!#REF!+SUM('Subcontract 1'!#REF!)+SUM('Subcontract 1'!O116:O133)+'W2'!D136))</f>
        <v>#REF!</v>
      </c>
      <c r="E157" s="41">
        <f>IF(E4="",0,('Subcontract 1'!P60+'Subcontract 1'!P71+'Subcontract 1'!P108+'Subcontract 1'!#REF!+SUM('Subcontract 1'!#REF!)+SUM('Subcontract 1'!P116:P133)+'W2'!E136))</f>
        <v>0</v>
      </c>
      <c r="F157" s="41">
        <f>IF(F4="",0,('Subcontract 1'!Q60+'Subcontract 1'!Q71+'Subcontract 1'!Q108+'Subcontract 1'!#REF!+SUM('Subcontract 1'!#REF!)+SUM('Subcontract 1'!Q116:Q133)+'W2'!F136))</f>
        <v>0</v>
      </c>
      <c r="G157" s="41">
        <f>IF(G4="",0,('Subcontract 1'!R60+'Subcontract 1'!R71+'Subcontract 1'!R108+'Subcontract 1'!#REF!+SUM('Subcontract 1'!#REF!)+SUM('Subcontract 1'!R116:R133)+'W2'!G136))</f>
        <v>0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'Subcontract 1'!N135-'Subcontract 1'!#REF!+'W2'!C154</f>
        <v>#REF!</v>
      </c>
      <c r="D158" s="42" t="e">
        <f>IF(D4="",0,('Subcontract 1'!O135-'Subcontract 1'!#REF!+'W2'!D154))</f>
        <v>#REF!</v>
      </c>
      <c r="E158" s="42">
        <f>IF(E4="",0,('Subcontract 1'!P135-'Subcontract 1'!#REF!+'W2'!E154))</f>
        <v>0</v>
      </c>
      <c r="F158" s="42">
        <f>IF(F4="",0,('Subcontract 1'!Q135-'Subcontract 1'!#REF!+'W2'!F154))</f>
        <v>0</v>
      </c>
      <c r="G158" s="42">
        <f>IF(G4="",0,('Subcontract 1'!R135-'Subcontract 1'!#REF!+'W2'!G154))</f>
        <v>0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ROUND(('Subcontract 1'!N135-'Subcontract 1'!#REF!+'W2'!C154)/(1-'Subcontract 1'!$L$137),0)</f>
        <v>#REF!</v>
      </c>
      <c r="D159" s="41" t="e">
        <f>IF(D4="",0,(ROUND(('Subcontract 1'!O135-'Subcontract 1'!#REF!+'W2'!D154)/(1-'Subcontract 1'!$L$137),0)))</f>
        <v>#REF!</v>
      </c>
      <c r="E159" s="41">
        <f>IF(E4="",0,(ROUND(('Subcontract 1'!P135-'Subcontract 1'!#REF!+'W2'!E154)/(1-'Subcontract 1'!$L$137),0)))</f>
        <v>0</v>
      </c>
      <c r="F159" s="41">
        <f>IF(F4="",0,(ROUND(('Subcontract 1'!Q135-'Subcontract 1'!#REF!+'W2'!F154)/(1-'Subcontract 1'!$L$137),0)))</f>
        <v>0</v>
      </c>
      <c r="G159" s="41">
        <f>IF(G4="",0,(ROUND(('Subcontract 1'!R135-'Subcontract 1'!#REF!+'W2'!G154)/(1-'Subcontract 1'!$L$137),0)))</f>
        <v>0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SUM('Subcontract 1'!#REF!)</f>
        <v>#REF!</v>
      </c>
      <c r="D160" s="216" t="e">
        <f>SUM('Subcontract 1'!#REF!)</f>
        <v>#REF!</v>
      </c>
      <c r="E160" s="216" t="e">
        <f>SUM('Subcontract 1'!#REF!)</f>
        <v>#REF!</v>
      </c>
      <c r="F160" s="216" t="e">
        <f>SUM('Subcontract 1'!#REF!)</f>
        <v>#REF!</v>
      </c>
      <c r="G160" s="216" t="e">
        <f>SUM('Subcontract 1'!#REF!)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'Subcontract 1'!#REF!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'Subcontract 1'!#REF!</f>
        <v>#REF!</v>
      </c>
      <c r="B162" s="26" t="e">
        <f>'Subcontract 1'!#REF!</f>
        <v>#REF!</v>
      </c>
      <c r="C162" s="41" t="e">
        <f>'Subcontract 1'!#REF!</f>
        <v>#REF!</v>
      </c>
      <c r="D162" s="41" t="e">
        <f>IF('Subcontract 1'!#REF!="Use Buydown",C162*0.75,C162)</f>
        <v>#REF!</v>
      </c>
      <c r="E162" s="41" t="e">
        <f>IF('Subcontract 1'!#REF!="AY",ROUND(D162*((1+B162)^$B$24),0),D162)</f>
        <v>#REF!</v>
      </c>
      <c r="F162" s="41" t="e">
        <f>IF('Subcontract 1'!#REF!="AY",ROUND(D162*((1+$B162)^($B$24+1)),0),ROUND(E162*(1+B162),0))</f>
        <v>#REF!</v>
      </c>
      <c r="G162" s="41" t="e">
        <f>IF('Subcontract 1'!#REF!="AY",ROUND(D162*((1+$B162)^($B$24+2)),0),ROUND(F162*(1+$B162),0))</f>
        <v>#REF!</v>
      </c>
      <c r="H162" s="41" t="e">
        <f>IF('Subcontract 1'!#REF!="AY",ROUND(D162*((1+$B162)^($B$24+3)),0),ROUND(G162*(1+$B162),0))</f>
        <v>#REF!</v>
      </c>
      <c r="I162" s="41" t="e">
        <f>IF('Subcontract 1'!#REF!="AY",ROUND(D162*((1+$B162)^($B$24+4)),0),ROUND(H162*(1+$B162),0))</f>
        <v>#REF!</v>
      </c>
      <c r="J162" s="41" t="e">
        <f>IF('Subcontract 1'!#REF!="AY",ROUND(D162*((1+$B162)^($B$24+5)),0),ROUND(I162*(1+$B162),0))</f>
        <v>#REF!</v>
      </c>
      <c r="K162" s="112" t="e">
        <f>IF(C$5=0,0,IF('Subcontract 1'!#REF!="AY",(E162*C$27+F162*C$28)/C$29,'W2'!E162))</f>
        <v>#REF!</v>
      </c>
      <c r="L162" s="112" t="e">
        <f>IF(D$5=0,0,IF('Subcontract 1'!#REF!="AY",(F162*D$27+G162*D$28)/D$29,'W2'!F162))</f>
        <v>#REF!</v>
      </c>
      <c r="M162" s="112">
        <f>IF(E$5=0,0,IF('Subcontract 1'!#REF!="AY",(G162*E$27+H162*E$28)/E$29,'W2'!G162))</f>
        <v>0</v>
      </c>
      <c r="N162" s="112">
        <f>IF(F$5=0,0,IF('Subcontract 1'!#REF!="AY",(H162*F$27+I162*F$28)/F$29,'W2'!H162))</f>
        <v>0</v>
      </c>
      <c r="O162" s="112">
        <f>IF(G$5=0,0,IF('Subcontract 1'!#REF!="AY",(I162*G$27+J162*G$28)/G$29,'W2'!I162))</f>
        <v>0</v>
      </c>
      <c r="P162" s="23"/>
      <c r="Q162" s="23"/>
      <c r="R162" s="23"/>
    </row>
    <row r="163" spans="1:18" x14ac:dyDescent="0.2">
      <c r="A163" s="4" t="e">
        <f>'Subcontract 1'!#REF!</f>
        <v>#REF!</v>
      </c>
      <c r="B163" s="26" t="e">
        <f>'Subcontract 1'!#REF!</f>
        <v>#REF!</v>
      </c>
      <c r="C163" s="41" t="e">
        <f>'Subcontract 1'!#REF!</f>
        <v>#REF!</v>
      </c>
      <c r="D163" s="41" t="e">
        <f>IF('Subcontract 1'!#REF!="Use Buydown",C163*0.75,C163)</f>
        <v>#REF!</v>
      </c>
      <c r="E163" s="41" t="e">
        <f>IF('Subcontract 1'!#REF!="AY",ROUND(D163*((1+B163)^$B$24),0),D163)</f>
        <v>#REF!</v>
      </c>
      <c r="F163" s="41" t="e">
        <f>IF('Subcontract 1'!#REF!="AY",ROUND(D163*((1+$B163)^($B$24+1)),0),ROUND(E163*(1+B163),0))</f>
        <v>#REF!</v>
      </c>
      <c r="G163" s="41" t="e">
        <f>IF('Subcontract 1'!#REF!="AY",ROUND(D163*((1+$B163)^($B$24+2)),0),ROUND(F163*(1+$B163),0))</f>
        <v>#REF!</v>
      </c>
      <c r="H163" s="41" t="e">
        <f>IF('Subcontract 1'!#REF!="AY",ROUND(D163*((1+$B163)^($B$24+3)),0),ROUND(G163*(1+$B163),0))</f>
        <v>#REF!</v>
      </c>
      <c r="I163" s="41" t="e">
        <f>IF('Subcontract 1'!#REF!="AY",ROUND(D163*((1+$B163)^($B$24+4)),0),ROUND(H163*(1+$B163),0))</f>
        <v>#REF!</v>
      </c>
      <c r="J163" s="41" t="e">
        <f>IF('Subcontract 1'!#REF!="AY",ROUND(D163*((1+$B163)^($B$24+5)),0),ROUND(I163*(1+$B163),0))</f>
        <v>#REF!</v>
      </c>
      <c r="K163" s="112" t="e">
        <f>IF(C$5=0,0,IF('Subcontract 1'!#REF!="AY",(E163*C$27+F163*C$28)/C$29,'W2'!E163))</f>
        <v>#REF!</v>
      </c>
      <c r="L163" s="112" t="e">
        <f>IF(D$5=0,0,IF('Subcontract 1'!#REF!="AY",(F163*D$27+G163*D$28)/D$29,'W2'!F163))</f>
        <v>#REF!</v>
      </c>
      <c r="M163" s="112">
        <f>IF(E$5=0,0,IF('Subcontract 1'!#REF!="AY",(G163*E$27+H163*E$28)/E$29,'W2'!G163))</f>
        <v>0</v>
      </c>
      <c r="N163" s="112">
        <f>IF(F$5=0,0,IF('Subcontract 1'!#REF!="AY",(H163*F$27+I163*F$28)/F$29,'W2'!H163))</f>
        <v>0</v>
      </c>
      <c r="O163" s="112">
        <f>IF(G$5=0,0,IF('Subcontract 1'!#REF!="AY",(I163*G$27+J163*G$28)/G$29,'W2'!I163))</f>
        <v>0</v>
      </c>
      <c r="P163" s="23"/>
      <c r="Q163" s="23"/>
      <c r="R163" s="23"/>
    </row>
    <row r="164" spans="1:18" x14ac:dyDescent="0.2">
      <c r="A164" s="4" t="e">
        <f>'Subcontract 1'!#REF!</f>
        <v>#REF!</v>
      </c>
      <c r="B164" s="26" t="e">
        <f>'Subcontract 1'!#REF!</f>
        <v>#REF!</v>
      </c>
      <c r="C164" s="41" t="e">
        <f>'Subcontract 1'!#REF!</f>
        <v>#REF!</v>
      </c>
      <c r="D164" s="41" t="e">
        <f>IF('Subcontract 1'!#REF!="Use Buydown",C164*0.75,C164)</f>
        <v>#REF!</v>
      </c>
      <c r="E164" s="41" t="e">
        <f>IF('Subcontract 1'!#REF!="AY",ROUND(D164*((1+B164)^$B$24),0),D164)</f>
        <v>#REF!</v>
      </c>
      <c r="F164" s="41" t="e">
        <f>IF('Subcontract 1'!#REF!="AY",ROUND(D164*((1+$B164)^($B$24+1)),0),ROUND(E164*(1+B164),0))</f>
        <v>#REF!</v>
      </c>
      <c r="G164" s="41" t="e">
        <f>IF('Subcontract 1'!#REF!="AY",ROUND(D164*((1+$B164)^($B$24+2)),0),ROUND(F164*(1+$B164),0))</f>
        <v>#REF!</v>
      </c>
      <c r="H164" s="41" t="e">
        <f>IF('Subcontract 1'!#REF!="AY",ROUND(D164*((1+$B164)^($B$24+3)),0),ROUND(G164*(1+$B164),0))</f>
        <v>#REF!</v>
      </c>
      <c r="I164" s="41" t="e">
        <f>IF('Subcontract 1'!#REF!="AY",ROUND(D164*((1+$B164)^($B$24+4)),0),ROUND(H164*(1+$B164),0))</f>
        <v>#REF!</v>
      </c>
      <c r="J164" s="41" t="e">
        <f>IF('Subcontract 1'!#REF!="AY",ROUND(D164*((1+$B164)^($B$24+5)),0),ROUND(I164*(1+$B164),0))</f>
        <v>#REF!</v>
      </c>
      <c r="K164" s="112" t="e">
        <f>IF(C$5=0,0,IF('Subcontract 1'!#REF!="AY",(E164*C$27+F164*C$28)/C$29,'W2'!E164))</f>
        <v>#REF!</v>
      </c>
      <c r="L164" s="112" t="e">
        <f>IF(D$5=0,0,IF('Subcontract 1'!#REF!="AY",(F164*D$27+G164*D$28)/D$29,'W2'!F164))</f>
        <v>#REF!</v>
      </c>
      <c r="M164" s="112">
        <f>IF(E$5=0,0,IF('Subcontract 1'!#REF!="AY",(G164*E$27+H164*E$28)/E$29,'W2'!G164))</f>
        <v>0</v>
      </c>
      <c r="N164" s="112">
        <f>IF(F$5=0,0,IF('Subcontract 1'!#REF!="AY",(H164*F$27+I164*F$28)/F$29,'W2'!H164))</f>
        <v>0</v>
      </c>
      <c r="O164" s="112">
        <f>IF(G$5=0,0,IF('Subcontract 1'!#REF!="AY",(I164*G$27+J164*G$28)/G$29,'W2'!I164))</f>
        <v>0</v>
      </c>
      <c r="P164" s="23"/>
      <c r="Q164" s="23"/>
      <c r="R164" s="23"/>
    </row>
    <row r="165" spans="1:18" x14ac:dyDescent="0.2">
      <c r="A165" s="4" t="e">
        <f>'Subcontract 1'!#REF!</f>
        <v>#REF!</v>
      </c>
      <c r="B165" s="26" t="e">
        <f>'Subcontract 1'!#REF!</f>
        <v>#REF!</v>
      </c>
      <c r="C165" s="41" t="e">
        <f>'Subcontract 1'!#REF!</f>
        <v>#REF!</v>
      </c>
      <c r="D165" s="41" t="e">
        <f>IF('Subcontract 1'!#REF!="Use Buydown",C165*0.75,C165)</f>
        <v>#REF!</v>
      </c>
      <c r="E165" s="41" t="e">
        <f>IF('Subcontract 1'!#REF!="AY",ROUND(D165*((1+B165)^$B$24),0),D165)</f>
        <v>#REF!</v>
      </c>
      <c r="F165" s="41" t="e">
        <f>IF('Subcontract 1'!#REF!="AY",ROUND(D165*((1+$B165)^($B$24+1)),0),ROUND(E165*(1+B165),0))</f>
        <v>#REF!</v>
      </c>
      <c r="G165" s="41" t="e">
        <f>IF('Subcontract 1'!#REF!="AY",ROUND(D165*((1+$B165)^($B$24+2)),0),ROUND(F165*(1+$B165),0))</f>
        <v>#REF!</v>
      </c>
      <c r="H165" s="41" t="e">
        <f>IF('Subcontract 1'!#REF!="AY",ROUND(D165*((1+$B165)^($B$24+3)),0),ROUND(G165*(1+$B165),0))</f>
        <v>#REF!</v>
      </c>
      <c r="I165" s="41" t="e">
        <f>IF('Subcontract 1'!#REF!="AY",ROUND(D165*((1+$B165)^($B$24+4)),0),ROUND(H165*(1+$B165),0))</f>
        <v>#REF!</v>
      </c>
      <c r="J165" s="41" t="e">
        <f>IF('Subcontract 1'!#REF!="AY",ROUND(D165*((1+$B165)^($B$24+5)),0),ROUND(I165*(1+$B165),0))</f>
        <v>#REF!</v>
      </c>
      <c r="K165" s="112" t="e">
        <f>IF(C$5=0,0,IF('Subcontract 1'!#REF!="AY",(E165*C$27+F165*C$28)/C$29,'W2'!E165))</f>
        <v>#REF!</v>
      </c>
      <c r="L165" s="112" t="e">
        <f>IF(D$5=0,0,IF('Subcontract 1'!#REF!="AY",(F165*D$27+G165*D$28)/D$29,'W2'!F165))</f>
        <v>#REF!</v>
      </c>
      <c r="M165" s="112">
        <f>IF(E$5=0,0,IF('Subcontract 1'!#REF!="AY",(G165*E$27+H165*E$28)/E$29,'W2'!G165))</f>
        <v>0</v>
      </c>
      <c r="N165" s="112">
        <f>IF(F$5=0,0,IF('Subcontract 1'!#REF!="AY",(H165*F$27+I165*F$28)/F$29,'W2'!H165))</f>
        <v>0</v>
      </c>
      <c r="O165" s="112">
        <f>IF(G$5=0,0,IF('Subcontract 1'!#REF!="AY",(I165*G$27+J165*G$28)/G$29,'W2'!I165))</f>
        <v>0</v>
      </c>
      <c r="P165" s="23"/>
      <c r="Q165" s="23"/>
      <c r="R165" s="23"/>
    </row>
    <row r="166" spans="1:18" x14ac:dyDescent="0.2">
      <c r="A166" s="4" t="e">
        <f>'Subcontract 1'!#REF!</f>
        <v>#REF!</v>
      </c>
      <c r="B166" s="26" t="e">
        <f>'Subcontract 1'!#REF!</f>
        <v>#REF!</v>
      </c>
      <c r="C166" s="41" t="e">
        <f>'Subcontract 1'!#REF!</f>
        <v>#REF!</v>
      </c>
      <c r="D166" s="41" t="e">
        <f>IF('Subcontract 1'!#REF!="Use Buydown",C166*0.75,C166)</f>
        <v>#REF!</v>
      </c>
      <c r="E166" s="41" t="e">
        <f>IF('Subcontract 1'!#REF!="AY",ROUND(D166*((1+B166)^$B$24),0),D166)</f>
        <v>#REF!</v>
      </c>
      <c r="F166" s="41" t="e">
        <f>IF('Subcontract 1'!#REF!="AY",ROUND(D166*((1+$B166)^($B$24+1)),0),ROUND(E166*(1+B166),0))</f>
        <v>#REF!</v>
      </c>
      <c r="G166" s="41" t="e">
        <f>IF('Subcontract 1'!#REF!="AY",ROUND(D166*((1+$B166)^($B$24+2)),0),ROUND(F166*(1+$B166),0))</f>
        <v>#REF!</v>
      </c>
      <c r="H166" s="41" t="e">
        <f>IF('Subcontract 1'!#REF!="AY",ROUND(D166*((1+$B166)^($B$24+3)),0),ROUND(G166*(1+$B166),0))</f>
        <v>#REF!</v>
      </c>
      <c r="I166" s="41" t="e">
        <f>IF('Subcontract 1'!#REF!="AY",ROUND(D166*((1+$B166)^($B$24+4)),0),ROUND(H166*(1+$B166),0))</f>
        <v>#REF!</v>
      </c>
      <c r="J166" s="41" t="e">
        <f>IF('Subcontract 1'!#REF!="AY",ROUND(D166*((1+$B166)^($B$24+5)),0),ROUND(I166*(1+$B166),0))</f>
        <v>#REF!</v>
      </c>
      <c r="K166" s="112" t="e">
        <f>IF(C$5=0,0,IF('Subcontract 1'!#REF!="AY",(E166*C$27+F166*C$28)/C$29,'W2'!E166))</f>
        <v>#REF!</v>
      </c>
      <c r="L166" s="112" t="e">
        <f>IF(D$5=0,0,IF('Subcontract 1'!#REF!="AY",(F166*D$27+G166*D$28)/D$29,'W2'!F166))</f>
        <v>#REF!</v>
      </c>
      <c r="M166" s="112">
        <f>IF(E$5=0,0,IF('Subcontract 1'!#REF!="AY",(G166*E$27+H166*E$28)/E$29,'W2'!G166))</f>
        <v>0</v>
      </c>
      <c r="N166" s="112">
        <f>IF(F$5=0,0,IF('Subcontract 1'!#REF!="AY",(H166*F$27+I166*F$28)/F$29,'W2'!H166))</f>
        <v>0</v>
      </c>
      <c r="O166" s="112">
        <f>IF(G$5=0,0,IF('Subcontract 1'!#REF!="AY",(I166*G$27+J166*G$28)/G$29,'W2'!I166))</f>
        <v>0</v>
      </c>
      <c r="P166" s="23"/>
      <c r="Q166" s="23"/>
      <c r="R166" s="23"/>
    </row>
    <row r="167" spans="1:18" x14ac:dyDescent="0.2">
      <c r="A167" s="4" t="e">
        <f>'Subcontract 1'!#REF!</f>
        <v>#REF!</v>
      </c>
      <c r="B167" s="26" t="e">
        <f>'Subcontract 1'!#REF!</f>
        <v>#REF!</v>
      </c>
      <c r="C167" s="41" t="e">
        <f>'Subcontract 1'!#REF!</f>
        <v>#REF!</v>
      </c>
      <c r="D167" s="41" t="e">
        <f>IF('Subcontract 1'!#REF!="Use Buydown",C167*0.75,C167)</f>
        <v>#REF!</v>
      </c>
      <c r="E167" s="41" t="e">
        <f>IF('Subcontract 1'!#REF!="AY",ROUND(D167*((1+B167)^$B$24),0),D167)</f>
        <v>#REF!</v>
      </c>
      <c r="F167" s="41" t="e">
        <f>IF('Subcontract 1'!#REF!="AY",ROUND(D167*((1+$B167)^($B$24+1)),0),ROUND(E167*(1+B167),0))</f>
        <v>#REF!</v>
      </c>
      <c r="G167" s="41" t="e">
        <f>IF('Subcontract 1'!#REF!="AY",ROUND(D167*((1+$B167)^($B$24+2)),0),ROUND(F167*(1+$B167),0))</f>
        <v>#REF!</v>
      </c>
      <c r="H167" s="41" t="e">
        <f>IF('Subcontract 1'!#REF!="AY",ROUND(D167*((1+$B167)^($B$24+3)),0),ROUND(G167*(1+$B167),0))</f>
        <v>#REF!</v>
      </c>
      <c r="I167" s="41" t="e">
        <f>IF('Subcontract 1'!#REF!="AY",ROUND(D167*((1+$B167)^($B$24+4)),0),ROUND(H167*(1+$B167),0))</f>
        <v>#REF!</v>
      </c>
      <c r="J167" s="41" t="e">
        <f>IF('Subcontract 1'!#REF!="AY",ROUND(D167*((1+$B167)^($B$24+5)),0),ROUND(I167*(1+$B167),0))</f>
        <v>#REF!</v>
      </c>
      <c r="K167" s="112" t="e">
        <f>IF(C$5=0,0,IF('Subcontract 1'!#REF!="AY",(E167*C$27+F167*C$28)/C$29,'W2'!E167))</f>
        <v>#REF!</v>
      </c>
      <c r="L167" s="112" t="e">
        <f>IF(D$5=0,0,IF('Subcontract 1'!#REF!="AY",(F167*D$27+G167*D$28)/D$29,'W2'!F167))</f>
        <v>#REF!</v>
      </c>
      <c r="M167" s="112">
        <f>IF(E$5=0,0,IF('Subcontract 1'!#REF!="AY",(G167*E$27+H167*E$28)/E$29,'W2'!G167))</f>
        <v>0</v>
      </c>
      <c r="N167" s="112">
        <f>IF(F$5=0,0,IF('Subcontract 1'!#REF!="AY",(H167*F$27+I167*F$28)/F$29,'W2'!H167))</f>
        <v>0</v>
      </c>
      <c r="O167" s="112">
        <f>IF(G$5=0,0,IF('Subcontract 1'!#REF!="AY",(I167*G$27+J167*G$28)/G$29,'W2'!I167))</f>
        <v>0</v>
      </c>
      <c r="P167" s="23"/>
      <c r="Q167" s="23"/>
      <c r="R167" s="23"/>
    </row>
    <row r="168" spans="1:18" x14ac:dyDescent="0.2">
      <c r="A168" s="4" t="e">
        <f>'Subcontract 1'!#REF!</f>
        <v>#REF!</v>
      </c>
      <c r="B168" s="26" t="e">
        <f>'Subcontract 1'!#REF!</f>
        <v>#REF!</v>
      </c>
      <c r="C168" s="41" t="e">
        <f>'Subcontract 1'!#REF!</f>
        <v>#REF!</v>
      </c>
      <c r="D168" s="41" t="e">
        <f>IF('Subcontract 1'!#REF!="Use Buydown",C168*0.75,C168)</f>
        <v>#REF!</v>
      </c>
      <c r="E168" s="41" t="e">
        <f>IF('Subcontract 1'!#REF!="AY",ROUND(D168*((1+B168)^$B$24),0),D168)</f>
        <v>#REF!</v>
      </c>
      <c r="F168" s="41" t="e">
        <f>IF('Subcontract 1'!#REF!="AY",ROUND(D168*((1+$B168)^($B$24+1)),0),ROUND(E168*(1+B168),0))</f>
        <v>#REF!</v>
      </c>
      <c r="G168" s="41" t="e">
        <f>IF('Subcontract 1'!#REF!="AY",ROUND(D168*((1+$B168)^($B$24+2)),0),ROUND(F168*(1+$B168),0))</f>
        <v>#REF!</v>
      </c>
      <c r="H168" s="41" t="e">
        <f>IF('Subcontract 1'!#REF!="AY",ROUND(D168*((1+$B168)^($B$24+3)),0),ROUND(G168*(1+$B168),0))</f>
        <v>#REF!</v>
      </c>
      <c r="I168" s="41" t="e">
        <f>IF('Subcontract 1'!#REF!="AY",ROUND(D168*((1+$B168)^($B$24+4)),0),ROUND(H168*(1+$B168),0))</f>
        <v>#REF!</v>
      </c>
      <c r="J168" s="41" t="e">
        <f>IF('Subcontract 1'!#REF!="AY",ROUND(D168*((1+$B168)^($B$24+5)),0),ROUND(I168*(1+$B168),0))</f>
        <v>#REF!</v>
      </c>
      <c r="K168" s="112" t="e">
        <f>IF(C$5=0,0,IF('Subcontract 1'!#REF!="AY",(E168*C$27+F168*C$28)/C$29,'W2'!E168))</f>
        <v>#REF!</v>
      </c>
      <c r="L168" s="112" t="e">
        <f>IF(D$5=0,0,IF('Subcontract 1'!#REF!="AY",(F168*D$27+G168*D$28)/D$29,'W2'!F168))</f>
        <v>#REF!</v>
      </c>
      <c r="M168" s="112">
        <f>IF(E$5=0,0,IF('Subcontract 1'!#REF!="AY",(G168*E$27+H168*E$28)/E$29,'W2'!G168))</f>
        <v>0</v>
      </c>
      <c r="N168" s="112">
        <f>IF(F$5=0,0,IF('Subcontract 1'!#REF!="AY",(H168*F$27+I168*F$28)/F$29,'W2'!H168))</f>
        <v>0</v>
      </c>
      <c r="O168" s="112">
        <f>IF(G$5=0,0,IF('Subcontract 1'!#REF!="AY",(I168*G$27+J168*G$28)/G$29,'W2'!I168))</f>
        <v>0</v>
      </c>
    </row>
    <row r="169" spans="1:18" x14ac:dyDescent="0.2">
      <c r="A169" s="4" t="e">
        <f>'Subcontract 1'!#REF!</f>
        <v>#REF!</v>
      </c>
      <c r="B169" s="26" t="e">
        <f>'Subcontract 1'!#REF!</f>
        <v>#REF!</v>
      </c>
      <c r="C169" s="41" t="e">
        <f>'Subcontract 1'!#REF!</f>
        <v>#REF!</v>
      </c>
      <c r="D169" s="41" t="e">
        <f>IF('Subcontract 1'!#REF!="Use Buydown",C169*0.75,C169)</f>
        <v>#REF!</v>
      </c>
      <c r="E169" s="41" t="e">
        <f>IF('Subcontract 1'!#REF!="AY",ROUND(D169*((1+B169)^$B$24),0),D169)</f>
        <v>#REF!</v>
      </c>
      <c r="F169" s="41" t="e">
        <f>IF('Subcontract 1'!#REF!="AY",ROUND(D169*((1+$B169)^($B$24+1)),0),ROUND(E169*(1+B169),0))</f>
        <v>#REF!</v>
      </c>
      <c r="G169" s="41" t="e">
        <f>IF('Subcontract 1'!#REF!="AY",ROUND(D169*((1+$B169)^($B$24+2)),0),ROUND(F169*(1+$B169),0))</f>
        <v>#REF!</v>
      </c>
      <c r="H169" s="41" t="e">
        <f>IF('Subcontract 1'!#REF!="AY",ROUND(D169*((1+$B169)^($B$24+3)),0),ROUND(G169*(1+$B169),0))</f>
        <v>#REF!</v>
      </c>
      <c r="I169" s="41" t="e">
        <f>IF('Subcontract 1'!#REF!="AY",ROUND(D169*((1+$B169)^($B$24+4)),0),ROUND(H169*(1+$B169),0))</f>
        <v>#REF!</v>
      </c>
      <c r="J169" s="41" t="e">
        <f>IF('Subcontract 1'!#REF!="AY",ROUND(D169*((1+$B169)^($B$24+5)),0),ROUND(I169*(1+$B169),0))</f>
        <v>#REF!</v>
      </c>
      <c r="K169" s="112" t="e">
        <f>IF(C$5=0,0,IF('Subcontract 1'!#REF!="AY",(E169*C$27+F169*C$28)/C$29,'W2'!E169))</f>
        <v>#REF!</v>
      </c>
      <c r="L169" s="112" t="e">
        <f>IF(D$5=0,0,IF('Subcontract 1'!#REF!="AY",(F169*D$27+G169*D$28)/D$29,'W2'!F169))</f>
        <v>#REF!</v>
      </c>
      <c r="M169" s="112">
        <f>IF(E$5=0,0,IF('Subcontract 1'!#REF!="AY",(G169*E$27+H169*E$28)/E$29,'W2'!G169))</f>
        <v>0</v>
      </c>
      <c r="N169" s="112">
        <f>IF(F$5=0,0,IF('Subcontract 1'!#REF!="AY",(H169*F$27+I169*F$28)/F$29,'W2'!H169))</f>
        <v>0</v>
      </c>
      <c r="O169" s="112">
        <f>IF(G$5=0,0,IF('Subcontract 1'!#REF!="AY",(I169*G$27+J169*G$28)/G$29,'W2'!I169))</f>
        <v>0</v>
      </c>
    </row>
    <row r="170" spans="1:18" x14ac:dyDescent="0.2">
      <c r="A170" s="4" t="e">
        <f>'Subcontract 1'!#REF!</f>
        <v>#REF!</v>
      </c>
      <c r="B170" s="26" t="e">
        <f>'Subcontract 1'!#REF!</f>
        <v>#REF!</v>
      </c>
      <c r="C170" s="41" t="e">
        <f>'Subcontract 1'!#REF!</f>
        <v>#REF!</v>
      </c>
      <c r="D170" s="41" t="e">
        <f>IF('Subcontract 1'!#REF!="Use Buydown",C170*0.75,C170)</f>
        <v>#REF!</v>
      </c>
      <c r="E170" s="41" t="e">
        <f>IF('Subcontract 1'!#REF!="AY",ROUND(D170*((1+B170)^$B$24),0),D170)</f>
        <v>#REF!</v>
      </c>
      <c r="F170" s="41" t="e">
        <f>IF('Subcontract 1'!#REF!="AY",ROUND(D170*((1+$B170)^($B$24+1)),0),ROUND(E170*(1+B170),0))</f>
        <v>#REF!</v>
      </c>
      <c r="G170" s="41" t="e">
        <f>IF('Subcontract 1'!#REF!="AY",ROUND(D170*((1+$B170)^($B$24+2)),0),ROUND(F170*(1+$B170),0))</f>
        <v>#REF!</v>
      </c>
      <c r="H170" s="41" t="e">
        <f>IF('Subcontract 1'!#REF!="AY",ROUND(D170*((1+$B170)^($B$24+3)),0),ROUND(G170*(1+$B170),0))</f>
        <v>#REF!</v>
      </c>
      <c r="I170" s="41" t="e">
        <f>IF('Subcontract 1'!#REF!="AY",ROUND(D170*((1+$B170)^($B$24+4)),0),ROUND(H170*(1+$B170),0))</f>
        <v>#REF!</v>
      </c>
      <c r="J170" s="41" t="e">
        <f>IF('Subcontract 1'!#REF!="AY",ROUND(D170*((1+$B170)^($B$24+5)),0),ROUND(I170*(1+$B170),0))</f>
        <v>#REF!</v>
      </c>
      <c r="K170" s="112" t="e">
        <f>IF(C$5=0,0,IF('Subcontract 1'!#REF!="AY",(E170*C$27+F170*C$28)/C$29,'W2'!E170))</f>
        <v>#REF!</v>
      </c>
      <c r="L170" s="112" t="e">
        <f>IF(D$5=0,0,IF('Subcontract 1'!#REF!="AY",(F170*D$27+G170*D$28)/D$29,'W2'!F170))</f>
        <v>#REF!</v>
      </c>
      <c r="M170" s="112">
        <f>IF(E$5=0,0,IF('Subcontract 1'!#REF!="AY",(G170*E$27+H170*E$28)/E$29,'W2'!G170))</f>
        <v>0</v>
      </c>
      <c r="N170" s="112">
        <f>IF(F$5=0,0,IF('Subcontract 1'!#REF!="AY",(H170*F$27+I170*F$28)/F$29,'W2'!H170))</f>
        <v>0</v>
      </c>
      <c r="O170" s="112">
        <f>IF(G$5=0,0,IF('Subcontract 1'!#REF!="AY",(I170*G$27+J170*G$28)/G$29,'W2'!I170))</f>
        <v>0</v>
      </c>
    </row>
    <row r="171" spans="1:18" x14ac:dyDescent="0.2">
      <c r="A171" s="4" t="e">
        <f>'Subcontract 1'!#REF!</f>
        <v>#REF!</v>
      </c>
      <c r="B171" s="26" t="e">
        <f>'Subcontract 1'!#REF!</f>
        <v>#REF!</v>
      </c>
      <c r="C171" s="41" t="e">
        <f>'Subcontract 1'!#REF!</f>
        <v>#REF!</v>
      </c>
      <c r="D171" s="41" t="e">
        <f>IF('Subcontract 1'!#REF!="Use Buydown",C171*0.75,C171)</f>
        <v>#REF!</v>
      </c>
      <c r="E171" s="41" t="e">
        <f>IF('Subcontract 1'!#REF!="AY",ROUND(D171*((1+B171)^$B$24),0),D171)</f>
        <v>#REF!</v>
      </c>
      <c r="F171" s="41" t="e">
        <f>IF('Subcontract 1'!#REF!="AY",ROUND(D171*((1+$B171)^($B$24+1)),0),ROUND(E171*(1+B171),0))</f>
        <v>#REF!</v>
      </c>
      <c r="G171" s="41" t="e">
        <f>IF('Subcontract 1'!#REF!="AY",ROUND(D171*((1+$B171)^($B$24+2)),0),ROUND(F171*(1+$B171),0))</f>
        <v>#REF!</v>
      </c>
      <c r="H171" s="41" t="e">
        <f>IF('Subcontract 1'!#REF!="AY",ROUND(D171*((1+$B171)^($B$24+3)),0),ROUND(G171*(1+$B171),0))</f>
        <v>#REF!</v>
      </c>
      <c r="I171" s="41" t="e">
        <f>IF('Subcontract 1'!#REF!="AY",ROUND(D171*((1+$B171)^($B$24+4)),0),ROUND(H171*(1+$B171),0))</f>
        <v>#REF!</v>
      </c>
      <c r="J171" s="41" t="e">
        <f>IF('Subcontract 1'!#REF!="AY",ROUND(D171*((1+$B171)^($B$24+5)),0),ROUND(I171*(1+$B171),0))</f>
        <v>#REF!</v>
      </c>
      <c r="K171" s="112" t="e">
        <f>IF(C$5=0,0,IF('Subcontract 1'!#REF!="AY",(E171*C$27+F171*C$28)/C$29,'W2'!E171))</f>
        <v>#REF!</v>
      </c>
      <c r="L171" s="112" t="e">
        <f>IF(D$5=0,0,IF('Subcontract 1'!#REF!="AY",(F171*D$27+G171*D$28)/D$29,'W2'!F171))</f>
        <v>#REF!</v>
      </c>
      <c r="M171" s="112">
        <f>IF(E$5=0,0,IF('Subcontract 1'!#REF!="AY",(G171*E$27+H171*E$28)/E$29,'W2'!G171))</f>
        <v>0</v>
      </c>
      <c r="N171" s="112">
        <f>IF(F$5=0,0,IF('Subcontract 1'!#REF!="AY",(H171*F$27+I171*F$28)/F$29,'W2'!H171))</f>
        <v>0</v>
      </c>
      <c r="O171" s="112">
        <f>IF(G$5=0,0,IF('Subcontract 1'!#REF!="AY",(I171*G$27+J171*G$28)/G$29,'W2'!I171))</f>
        <v>0</v>
      </c>
    </row>
    <row r="172" spans="1:18" x14ac:dyDescent="0.2">
      <c r="A172" s="4" t="e">
        <f>'Subcontract 1'!#REF!</f>
        <v>#REF!</v>
      </c>
      <c r="B172" s="26" t="e">
        <f>'Subcontract 1'!#REF!</f>
        <v>#REF!</v>
      </c>
      <c r="C172" s="41" t="e">
        <f>'Subcontract 1'!#REF!</f>
        <v>#REF!</v>
      </c>
      <c r="D172" s="41" t="e">
        <f>IF('Subcontract 1'!#REF!="Use Buydown",C172*0.75,C172)</f>
        <v>#REF!</v>
      </c>
      <c r="E172" s="41" t="e">
        <f>IF('Subcontract 1'!#REF!="AY",ROUND(D172*((1+B172)^$B$24),0),D172)</f>
        <v>#REF!</v>
      </c>
      <c r="F172" s="41" t="e">
        <f>IF('Subcontract 1'!#REF!="AY",ROUND(D172*((1+$B172)^($B$24+1)),0),ROUND(E172*(1+B172),0))</f>
        <v>#REF!</v>
      </c>
      <c r="G172" s="41" t="e">
        <f>IF('Subcontract 1'!#REF!="AY",ROUND(D172*((1+$B172)^($B$24+2)),0),ROUND(F172*(1+$B172),0))</f>
        <v>#REF!</v>
      </c>
      <c r="H172" s="41" t="e">
        <f>IF('Subcontract 1'!#REF!="AY",ROUND(D172*((1+$B172)^($B$24+3)),0),ROUND(G172*(1+$B172),0))</f>
        <v>#REF!</v>
      </c>
      <c r="I172" s="41" t="e">
        <f>IF('Subcontract 1'!#REF!="AY",ROUND(D172*((1+$B172)^($B$24+4)),0),ROUND(H172*(1+$B172),0))</f>
        <v>#REF!</v>
      </c>
      <c r="J172" s="41" t="e">
        <f>IF('Subcontract 1'!#REF!="AY",ROUND(D172*((1+$B172)^($B$24+5)),0),ROUND(I172*(1+$B172),0))</f>
        <v>#REF!</v>
      </c>
      <c r="K172" s="112" t="e">
        <f>IF(C$5=0,0,IF('Subcontract 1'!#REF!="AY",(E172*C$27+F172*C$28)/C$29,'W2'!E172))</f>
        <v>#REF!</v>
      </c>
      <c r="L172" s="112" t="e">
        <f>IF(D$5=0,0,IF('Subcontract 1'!#REF!="AY",(F172*D$27+G172*D$28)/D$29,'W2'!F172))</f>
        <v>#REF!</v>
      </c>
      <c r="M172" s="112">
        <f>IF(E$5=0,0,IF('Subcontract 1'!#REF!="AY",(G172*E$27+H172*E$28)/E$29,'W2'!G172))</f>
        <v>0</v>
      </c>
      <c r="N172" s="112">
        <f>IF(F$5=0,0,IF('Subcontract 1'!#REF!="AY",(H172*F$27+I172*F$28)/F$29,'W2'!H172))</f>
        <v>0</v>
      </c>
      <c r="O172" s="112">
        <f>IF(G$5=0,0,IF('Subcontract 1'!#REF!="AY",(I172*G$27+J172*G$28)/G$29,'W2'!I172))</f>
        <v>0</v>
      </c>
    </row>
    <row r="173" spans="1:18" x14ac:dyDescent="0.2">
      <c r="A173" s="4" t="e">
        <f>'Subcontract 1'!#REF!</f>
        <v>#REF!</v>
      </c>
      <c r="B173" s="26" t="e">
        <f>'Subcontract 1'!#REF!</f>
        <v>#REF!</v>
      </c>
      <c r="C173" s="41" t="e">
        <f>'Subcontract 1'!#REF!</f>
        <v>#REF!</v>
      </c>
      <c r="D173" s="41" t="e">
        <f>IF('Subcontract 1'!#REF!="Use Buydown",C173*0.75,C173)</f>
        <v>#REF!</v>
      </c>
      <c r="E173" s="41" t="e">
        <f>IF('Subcontract 1'!#REF!="AY",ROUND(D173*((1+B173)^$B$24),0),D173)</f>
        <v>#REF!</v>
      </c>
      <c r="F173" s="41" t="e">
        <f>IF('Subcontract 1'!#REF!="AY",ROUND(D173*((1+$B173)^($B$24+1)),0),ROUND(E173*(1+B173),0))</f>
        <v>#REF!</v>
      </c>
      <c r="G173" s="41" t="e">
        <f>IF('Subcontract 1'!#REF!="AY",ROUND(D173*((1+$B173)^($B$24+2)),0),ROUND(F173*(1+$B173),0))</f>
        <v>#REF!</v>
      </c>
      <c r="H173" s="41" t="e">
        <f>IF('Subcontract 1'!#REF!="AY",ROUND(D173*((1+$B173)^($B$24+3)),0),ROUND(G173*(1+$B173),0))</f>
        <v>#REF!</v>
      </c>
      <c r="I173" s="41" t="e">
        <f>IF('Subcontract 1'!#REF!="AY",ROUND(D173*((1+$B173)^($B$24+4)),0),ROUND(H173*(1+$B173),0))</f>
        <v>#REF!</v>
      </c>
      <c r="J173" s="41" t="e">
        <f>IF('Subcontract 1'!#REF!="AY",ROUND(D173*((1+$B173)^($B$24+5)),0),ROUND(I173*(1+$B173),0))</f>
        <v>#REF!</v>
      </c>
      <c r="K173" s="112" t="e">
        <f>IF(C$5=0,0,IF('Subcontract 1'!#REF!="AY",(E173*C$27+F173*C$28)/C$29,'W2'!E173))</f>
        <v>#REF!</v>
      </c>
      <c r="L173" s="112" t="e">
        <f>IF(D$5=0,0,IF('Subcontract 1'!#REF!="AY",(F173*D$27+G173*D$28)/D$29,'W2'!F173))</f>
        <v>#REF!</v>
      </c>
      <c r="M173" s="112">
        <f>IF(E$5=0,0,IF('Subcontract 1'!#REF!="AY",(G173*E$27+H173*E$28)/E$29,'W2'!G173))</f>
        <v>0</v>
      </c>
      <c r="N173" s="112">
        <f>IF(F$5=0,0,IF('Subcontract 1'!#REF!="AY",(H173*F$27+I173*F$28)/F$29,'W2'!H173))</f>
        <v>0</v>
      </c>
      <c r="O173" s="112">
        <f>IF(G$5=0,0,IF('Subcontract 1'!#REF!="AY",(I173*G$27+J173*G$28)/G$29,'W2'!I173))</f>
        <v>0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>
        <f>'Subcontract 1'!B8</f>
        <v>0</v>
      </c>
      <c r="B177" s="131">
        <f>C5</f>
        <v>12</v>
      </c>
      <c r="C177" s="131">
        <f t="shared" ref="C177:F177" si="35">D5</f>
        <v>12</v>
      </c>
      <c r="D177" s="131">
        <f t="shared" si="35"/>
        <v>0</v>
      </c>
      <c r="E177" s="131">
        <f t="shared" si="35"/>
        <v>0</v>
      </c>
      <c r="F177" s="131">
        <f t="shared" si="35"/>
        <v>0</v>
      </c>
      <c r="G177" s="70">
        <f>'Subcontract 1'!L8</f>
        <v>0</v>
      </c>
      <c r="H177" s="70" t="e">
        <f>IF(#REF!="No",('Subcontract 1'!F8*B177/12*'Subcontract 1'!$L8),('Subcontract 1'!F8*'W2'!B177))</f>
        <v>#REF!</v>
      </c>
      <c r="I177" s="70" t="e">
        <f>IF(#REF!="No",('Subcontract 1'!G8*C177/12*'Subcontract 1'!$L8),('Subcontract 1'!G8*'W2'!C177))</f>
        <v>#REF!</v>
      </c>
      <c r="J177" s="70" t="e">
        <f>IF(#REF!="No",('Subcontract 1'!H8*D177/12*'Subcontract 1'!$L8),('Subcontract 1'!H8*'W2'!D177))</f>
        <v>#REF!</v>
      </c>
      <c r="K177" s="70" t="e">
        <f>IF(#REF!="No",('Subcontract 1'!I8*E177/12*'Subcontract 1'!$L8),('Subcontract 1'!I8*'W2'!E177))</f>
        <v>#REF!</v>
      </c>
      <c r="L177" s="70" t="e">
        <f>IF(#REF!="No",('Subcontract 1'!J8*F177/12*'Subcontract 1'!$L8),('Subcontract 1'!J8*'W2'!F177))</f>
        <v>#REF!</v>
      </c>
    </row>
    <row r="178" spans="1:12" x14ac:dyDescent="0.2">
      <c r="A178" s="40">
        <f>'Subcontract 1'!B9</f>
        <v>0</v>
      </c>
      <c r="B178" s="131">
        <f>B177</f>
        <v>12</v>
      </c>
      <c r="C178" s="131">
        <f t="shared" ref="C178:F193" si="36">C177</f>
        <v>12</v>
      </c>
      <c r="D178" s="131">
        <f t="shared" si="36"/>
        <v>0</v>
      </c>
      <c r="E178" s="131">
        <f t="shared" si="36"/>
        <v>0</v>
      </c>
      <c r="F178" s="131">
        <f t="shared" si="36"/>
        <v>0</v>
      </c>
      <c r="G178" s="70">
        <f>'Subcontract 1'!L9</f>
        <v>0</v>
      </c>
      <c r="H178" s="70" t="e">
        <f>IF(#REF!="No",('Subcontract 1'!F9*B178/12*'Subcontract 1'!$L9),('Subcontract 1'!F9*'W2'!B178))</f>
        <v>#REF!</v>
      </c>
      <c r="I178" s="70" t="e">
        <f>IF(#REF!="No",('Subcontract 1'!G9*C178/12*'Subcontract 1'!$L9),('Subcontract 1'!G9*'W2'!C178))</f>
        <v>#REF!</v>
      </c>
      <c r="J178" s="70" t="e">
        <f>IF(#REF!="No",('Subcontract 1'!H9*D178/12*'Subcontract 1'!$L9),('Subcontract 1'!H9*'W2'!D178))</f>
        <v>#REF!</v>
      </c>
      <c r="K178" s="70" t="e">
        <f>IF(#REF!="No",('Subcontract 1'!I9*E178/12*'Subcontract 1'!$L9),('Subcontract 1'!I9*'W2'!E178))</f>
        <v>#REF!</v>
      </c>
      <c r="L178" s="70" t="e">
        <f>IF(#REF!="No",('Subcontract 1'!J9*F178/12*'Subcontract 1'!$L9),('Subcontract 1'!J9*'W2'!F178))</f>
        <v>#REF!</v>
      </c>
    </row>
    <row r="179" spans="1:12" x14ac:dyDescent="0.2">
      <c r="A179" s="40">
        <f>'Subcontract 1'!B10</f>
        <v>0</v>
      </c>
      <c r="B179" s="131">
        <f t="shared" ref="B179:F194" si="37">B178</f>
        <v>12</v>
      </c>
      <c r="C179" s="131">
        <f t="shared" si="36"/>
        <v>12</v>
      </c>
      <c r="D179" s="131">
        <f t="shared" si="36"/>
        <v>0</v>
      </c>
      <c r="E179" s="131">
        <f t="shared" si="36"/>
        <v>0</v>
      </c>
      <c r="F179" s="131">
        <f t="shared" si="36"/>
        <v>0</v>
      </c>
      <c r="G179" s="70">
        <f>'Subcontract 1'!L10</f>
        <v>0</v>
      </c>
      <c r="H179" s="70" t="e">
        <f>IF(#REF!="No",('Subcontract 1'!F10*B179/12*'Subcontract 1'!$L10),('Subcontract 1'!F10*'W2'!B179))</f>
        <v>#REF!</v>
      </c>
      <c r="I179" s="70" t="e">
        <f>IF(#REF!="No",('Subcontract 1'!G10*C179/12*'Subcontract 1'!$L10),('Subcontract 1'!G10*'W2'!C179))</f>
        <v>#REF!</v>
      </c>
      <c r="J179" s="70" t="e">
        <f>IF(#REF!="No",('Subcontract 1'!H10*D179/12*'Subcontract 1'!$L10),('Subcontract 1'!H10*'W2'!D179))</f>
        <v>#REF!</v>
      </c>
      <c r="K179" s="70" t="e">
        <f>IF(#REF!="No",('Subcontract 1'!I10*E179/12*'Subcontract 1'!$L10),('Subcontract 1'!I10*'W2'!E179))</f>
        <v>#REF!</v>
      </c>
      <c r="L179" s="70" t="e">
        <f>IF(#REF!="No",('Subcontract 1'!J10*F179/12*'Subcontract 1'!$L10),('Subcontract 1'!J10*'W2'!F179))</f>
        <v>#REF!</v>
      </c>
    </row>
    <row r="180" spans="1:12" x14ac:dyDescent="0.2">
      <c r="A180" s="40">
        <f>'Subcontract 1'!B11</f>
        <v>0</v>
      </c>
      <c r="B180" s="131">
        <f t="shared" si="37"/>
        <v>12</v>
      </c>
      <c r="C180" s="131">
        <f t="shared" si="36"/>
        <v>12</v>
      </c>
      <c r="D180" s="131">
        <f t="shared" si="36"/>
        <v>0</v>
      </c>
      <c r="E180" s="131">
        <f t="shared" si="36"/>
        <v>0</v>
      </c>
      <c r="F180" s="131">
        <f t="shared" si="36"/>
        <v>0</v>
      </c>
      <c r="G180" s="70">
        <f>'Subcontract 1'!L11</f>
        <v>0</v>
      </c>
      <c r="H180" s="70" t="e">
        <f>IF(#REF!="No",('Subcontract 1'!F11*B180/12*'Subcontract 1'!$L11),('Subcontract 1'!F11*'W2'!B180))</f>
        <v>#REF!</v>
      </c>
      <c r="I180" s="70" t="e">
        <f>IF(#REF!="No",('Subcontract 1'!G11*C180/12*'Subcontract 1'!$L11),('Subcontract 1'!G11*'W2'!C180))</f>
        <v>#REF!</v>
      </c>
      <c r="J180" s="70" t="e">
        <f>IF(#REF!="No",('Subcontract 1'!H11*D180/12*'Subcontract 1'!$L11),('Subcontract 1'!H11*'W2'!D180))</f>
        <v>#REF!</v>
      </c>
      <c r="K180" s="70" t="e">
        <f>IF(#REF!="No",('Subcontract 1'!I11*E180/12*'Subcontract 1'!$L11),('Subcontract 1'!I11*'W2'!E180))</f>
        <v>#REF!</v>
      </c>
      <c r="L180" s="70" t="e">
        <f>IF(#REF!="No",('Subcontract 1'!J11*F180/12*'Subcontract 1'!$L11),('Subcontract 1'!J11*'W2'!F180))</f>
        <v>#REF!</v>
      </c>
    </row>
    <row r="181" spans="1:12" x14ac:dyDescent="0.2">
      <c r="A181" s="40">
        <f>'Subcontract 1'!B12</f>
        <v>0</v>
      </c>
      <c r="B181" s="131">
        <f t="shared" si="37"/>
        <v>12</v>
      </c>
      <c r="C181" s="131">
        <f t="shared" si="36"/>
        <v>12</v>
      </c>
      <c r="D181" s="131">
        <f t="shared" si="36"/>
        <v>0</v>
      </c>
      <c r="E181" s="131">
        <f t="shared" si="36"/>
        <v>0</v>
      </c>
      <c r="F181" s="131">
        <f t="shared" si="36"/>
        <v>0</v>
      </c>
      <c r="G181" s="70">
        <f>'Subcontract 1'!L12</f>
        <v>0</v>
      </c>
      <c r="H181" s="70" t="e">
        <f>IF(#REF!="No",('Subcontract 1'!F12*B181/12*'Subcontract 1'!$L12),('Subcontract 1'!F12*'W2'!B181))</f>
        <v>#REF!</v>
      </c>
      <c r="I181" s="70" t="e">
        <f>IF(#REF!="No",('Subcontract 1'!G12*C181/12*'Subcontract 1'!$L12),('Subcontract 1'!G12*'W2'!C181))</f>
        <v>#REF!</v>
      </c>
      <c r="J181" s="70" t="e">
        <f>IF(#REF!="No",('Subcontract 1'!H12*D181/12*'Subcontract 1'!$L12),('Subcontract 1'!H12*'W2'!D181))</f>
        <v>#REF!</v>
      </c>
      <c r="K181" s="70" t="e">
        <f>IF(#REF!="No",('Subcontract 1'!I12*E181/12*'Subcontract 1'!$L12),('Subcontract 1'!I12*'W2'!E181))</f>
        <v>#REF!</v>
      </c>
      <c r="L181" s="70" t="e">
        <f>IF(#REF!="No",('Subcontract 1'!J12*F181/12*'Subcontract 1'!$L12),('Subcontract 1'!J12*'W2'!F181))</f>
        <v>#REF!</v>
      </c>
    </row>
    <row r="182" spans="1:12" x14ac:dyDescent="0.2">
      <c r="A182" s="40">
        <f>'Subcontract 1'!B13</f>
        <v>0</v>
      </c>
      <c r="B182" s="131">
        <f t="shared" si="37"/>
        <v>12</v>
      </c>
      <c r="C182" s="131">
        <f t="shared" si="36"/>
        <v>12</v>
      </c>
      <c r="D182" s="131">
        <f t="shared" si="36"/>
        <v>0</v>
      </c>
      <c r="E182" s="131">
        <f t="shared" si="36"/>
        <v>0</v>
      </c>
      <c r="F182" s="131">
        <f t="shared" si="36"/>
        <v>0</v>
      </c>
      <c r="G182" s="70">
        <f>'Subcontract 1'!L13</f>
        <v>12</v>
      </c>
      <c r="H182" s="70" t="e">
        <f>IF(#REF!="No",('Subcontract 1'!F13*B182/12*'Subcontract 1'!$L13),('Subcontract 1'!F13*'W2'!B182))</f>
        <v>#REF!</v>
      </c>
      <c r="I182" s="70" t="e">
        <f>IF(#REF!="No",('Subcontract 1'!G13*C182/12*'Subcontract 1'!$L13),('Subcontract 1'!G13*'W2'!C182))</f>
        <v>#REF!</v>
      </c>
      <c r="J182" s="70" t="e">
        <f>IF(#REF!="No",('Subcontract 1'!H13*D182/12*'Subcontract 1'!$L13),('Subcontract 1'!H13*'W2'!D182))</f>
        <v>#REF!</v>
      </c>
      <c r="K182" s="70" t="e">
        <f>IF(#REF!="No",('Subcontract 1'!I13*E182/12*'Subcontract 1'!$L13),('Subcontract 1'!I13*'W2'!E182))</f>
        <v>#REF!</v>
      </c>
      <c r="L182" s="70" t="e">
        <f>IF(#REF!="No",('Subcontract 1'!J13*F182/12*'Subcontract 1'!$L13),('Subcontract 1'!J13*'W2'!F182))</f>
        <v>#REF!</v>
      </c>
    </row>
    <row r="183" spans="1:12" x14ac:dyDescent="0.2">
      <c r="A183" s="40">
        <f>'Subcontract 1'!B14</f>
        <v>0</v>
      </c>
      <c r="B183" s="131">
        <f t="shared" si="37"/>
        <v>12</v>
      </c>
      <c r="C183" s="131">
        <f t="shared" si="36"/>
        <v>12</v>
      </c>
      <c r="D183" s="131">
        <f t="shared" si="36"/>
        <v>0</v>
      </c>
      <c r="E183" s="131">
        <f t="shared" si="36"/>
        <v>0</v>
      </c>
      <c r="F183" s="131">
        <f t="shared" si="36"/>
        <v>0</v>
      </c>
      <c r="G183" s="70">
        <f>'Subcontract 1'!L14</f>
        <v>12</v>
      </c>
      <c r="H183" s="70" t="e">
        <f>IF(#REF!="No",('Subcontract 1'!F14*B183/12*'Subcontract 1'!$L14),('Subcontract 1'!F14*'W2'!B183))</f>
        <v>#REF!</v>
      </c>
      <c r="I183" s="70" t="e">
        <f>IF(#REF!="No",('Subcontract 1'!G14*C183/12*'Subcontract 1'!$L14),('Subcontract 1'!G14*'W2'!C183))</f>
        <v>#REF!</v>
      </c>
      <c r="J183" s="70" t="e">
        <f>IF(#REF!="No",('Subcontract 1'!H14*D183/12*'Subcontract 1'!$L14),('Subcontract 1'!H14*'W2'!D183))</f>
        <v>#REF!</v>
      </c>
      <c r="K183" s="70" t="e">
        <f>IF(#REF!="No",('Subcontract 1'!I14*E183/12*'Subcontract 1'!$L14),('Subcontract 1'!I14*'W2'!E183))</f>
        <v>#REF!</v>
      </c>
      <c r="L183" s="70" t="e">
        <f>IF(#REF!="No",('Subcontract 1'!J14*F183/12*'Subcontract 1'!$L14),('Subcontract 1'!J14*'W2'!F183))</f>
        <v>#REF!</v>
      </c>
    </row>
    <row r="184" spans="1:12" x14ac:dyDescent="0.2">
      <c r="A184" s="40">
        <f>'Subcontract 1'!B15</f>
        <v>0</v>
      </c>
      <c r="B184" s="131">
        <f t="shared" si="37"/>
        <v>12</v>
      </c>
      <c r="C184" s="131">
        <f t="shared" si="36"/>
        <v>12</v>
      </c>
      <c r="D184" s="131">
        <f t="shared" si="36"/>
        <v>0</v>
      </c>
      <c r="E184" s="131">
        <f t="shared" si="36"/>
        <v>0</v>
      </c>
      <c r="F184" s="131">
        <f t="shared" si="36"/>
        <v>0</v>
      </c>
      <c r="G184" s="70">
        <f>'Subcontract 1'!L15</f>
        <v>12</v>
      </c>
      <c r="H184" s="70" t="e">
        <f>IF(#REF!="No",('Subcontract 1'!F15*B184/12*'Subcontract 1'!$L15),('Subcontract 1'!F15*'W2'!B184))</f>
        <v>#REF!</v>
      </c>
      <c r="I184" s="70" t="e">
        <f>IF(#REF!="No",('Subcontract 1'!G15*C184/12*'Subcontract 1'!$L15),('Subcontract 1'!G15*'W2'!C184))</f>
        <v>#REF!</v>
      </c>
      <c r="J184" s="70" t="e">
        <f>IF(#REF!="No",('Subcontract 1'!H15*D184/12*'Subcontract 1'!$L15),('Subcontract 1'!H15*'W2'!D184))</f>
        <v>#REF!</v>
      </c>
      <c r="K184" s="70" t="e">
        <f>IF(#REF!="No",('Subcontract 1'!I15*E184/12*'Subcontract 1'!$L15),('Subcontract 1'!I15*'W2'!E184))</f>
        <v>#REF!</v>
      </c>
      <c r="L184" s="70" t="e">
        <f>IF(#REF!="No",('Subcontract 1'!J15*F184/12*'Subcontract 1'!$L15),('Subcontract 1'!J15*'W2'!F184))</f>
        <v>#REF!</v>
      </c>
    </row>
    <row r="185" spans="1:12" x14ac:dyDescent="0.2">
      <c r="A185" s="40">
        <f>'Subcontract 1'!B16</f>
        <v>0</v>
      </c>
      <c r="B185" s="131">
        <f t="shared" si="37"/>
        <v>12</v>
      </c>
      <c r="C185" s="131">
        <f t="shared" si="36"/>
        <v>12</v>
      </c>
      <c r="D185" s="131">
        <f t="shared" si="36"/>
        <v>0</v>
      </c>
      <c r="E185" s="131">
        <f t="shared" si="36"/>
        <v>0</v>
      </c>
      <c r="F185" s="131">
        <f t="shared" si="36"/>
        <v>0</v>
      </c>
      <c r="G185" s="70">
        <f>'Subcontract 1'!L16</f>
        <v>12</v>
      </c>
      <c r="H185" s="70" t="e">
        <f>IF(#REF!="No",('Subcontract 1'!F16*B185/12*'Subcontract 1'!$L16),('Subcontract 1'!F16*'W2'!B185))</f>
        <v>#REF!</v>
      </c>
      <c r="I185" s="70" t="e">
        <f>IF(#REF!="No",('Subcontract 1'!G16*C185/12*'Subcontract 1'!$L16),('Subcontract 1'!G16*'W2'!C185))</f>
        <v>#REF!</v>
      </c>
      <c r="J185" s="70" t="e">
        <f>IF(#REF!="No",('Subcontract 1'!H16*D185/12*'Subcontract 1'!$L16),('Subcontract 1'!H16*'W2'!D185))</f>
        <v>#REF!</v>
      </c>
      <c r="K185" s="70" t="e">
        <f>IF(#REF!="No",('Subcontract 1'!I16*E185/12*'Subcontract 1'!$L16),('Subcontract 1'!I16*'W2'!E185))</f>
        <v>#REF!</v>
      </c>
      <c r="L185" s="70" t="e">
        <f>IF(#REF!="No",('Subcontract 1'!J16*F185/12*'Subcontract 1'!$L16),('Subcontract 1'!J16*'W2'!F185))</f>
        <v>#REF!</v>
      </c>
    </row>
    <row r="186" spans="1:12" x14ac:dyDescent="0.2">
      <c r="A186" s="40">
        <f>'Subcontract 1'!B17</f>
        <v>0</v>
      </c>
      <c r="B186" s="131">
        <f t="shared" si="37"/>
        <v>12</v>
      </c>
      <c r="C186" s="131">
        <f t="shared" si="36"/>
        <v>12</v>
      </c>
      <c r="D186" s="131">
        <f t="shared" si="36"/>
        <v>0</v>
      </c>
      <c r="E186" s="131">
        <f t="shared" si="36"/>
        <v>0</v>
      </c>
      <c r="F186" s="131">
        <f t="shared" si="36"/>
        <v>0</v>
      </c>
      <c r="G186" s="70">
        <f>'Subcontract 1'!L17</f>
        <v>12</v>
      </c>
      <c r="H186" s="70" t="e">
        <f>IF(#REF!="No",('Subcontract 1'!F17*B186/12*'Subcontract 1'!$L17),('Subcontract 1'!F17*'W2'!B186))</f>
        <v>#REF!</v>
      </c>
      <c r="I186" s="70" t="e">
        <f>IF(#REF!="No",('Subcontract 1'!G17*C186/12*'Subcontract 1'!$L17),('Subcontract 1'!G17*'W2'!C186))</f>
        <v>#REF!</v>
      </c>
      <c r="J186" s="70" t="e">
        <f>IF(#REF!="No",('Subcontract 1'!H17*D186/12*'Subcontract 1'!$L17),('Subcontract 1'!H17*'W2'!D186))</f>
        <v>#REF!</v>
      </c>
      <c r="K186" s="70" t="e">
        <f>IF(#REF!="No",('Subcontract 1'!I17*E186/12*'Subcontract 1'!$L17),('Subcontract 1'!I17*'W2'!E186))</f>
        <v>#REF!</v>
      </c>
      <c r="L186" s="70" t="e">
        <f>IF(#REF!="No",('Subcontract 1'!J17*F186/12*'Subcontract 1'!$L17),('Subcontract 1'!J17*'W2'!F186))</f>
        <v>#REF!</v>
      </c>
    </row>
    <row r="187" spans="1:12" x14ac:dyDescent="0.2">
      <c r="A187" s="40">
        <f>'Subcontract 1'!B18</f>
        <v>0</v>
      </c>
      <c r="B187" s="131">
        <f t="shared" si="37"/>
        <v>12</v>
      </c>
      <c r="C187" s="131">
        <f t="shared" si="36"/>
        <v>12</v>
      </c>
      <c r="D187" s="131">
        <f t="shared" si="36"/>
        <v>0</v>
      </c>
      <c r="E187" s="131">
        <f t="shared" si="36"/>
        <v>0</v>
      </c>
      <c r="F187" s="131">
        <f t="shared" si="36"/>
        <v>0</v>
      </c>
      <c r="G187" s="70">
        <f>'Subcontract 1'!L18</f>
        <v>12</v>
      </c>
      <c r="H187" s="70" t="e">
        <f>IF(#REF!="No",('Subcontract 1'!F18*B187/12*'Subcontract 1'!$L18),('Subcontract 1'!F18*'W2'!B187))</f>
        <v>#REF!</v>
      </c>
      <c r="I187" s="70" t="e">
        <f>IF(#REF!="No",('Subcontract 1'!G18*C187/12*'Subcontract 1'!$L18),('Subcontract 1'!G18*'W2'!C187))</f>
        <v>#REF!</v>
      </c>
      <c r="J187" s="70" t="e">
        <f>IF(#REF!="No",('Subcontract 1'!H18*D187/12*'Subcontract 1'!$L18),('Subcontract 1'!H18*'W2'!D187))</f>
        <v>#REF!</v>
      </c>
      <c r="K187" s="70" t="e">
        <f>IF(#REF!="No",('Subcontract 1'!I18*E187/12*'Subcontract 1'!$L18),('Subcontract 1'!I18*'W2'!E187))</f>
        <v>#REF!</v>
      </c>
      <c r="L187" s="70" t="e">
        <f>IF(#REF!="No",('Subcontract 1'!J18*F187/12*'Subcontract 1'!$L18),('Subcontract 1'!J18*'W2'!F187))</f>
        <v>#REF!</v>
      </c>
    </row>
    <row r="188" spans="1:12" x14ac:dyDescent="0.2">
      <c r="A188" s="40">
        <f>'Subcontract 1'!B19</f>
        <v>0</v>
      </c>
      <c r="B188" s="131">
        <f t="shared" si="37"/>
        <v>12</v>
      </c>
      <c r="C188" s="131">
        <f t="shared" si="36"/>
        <v>12</v>
      </c>
      <c r="D188" s="131">
        <f t="shared" si="36"/>
        <v>0</v>
      </c>
      <c r="E188" s="131">
        <f t="shared" si="36"/>
        <v>0</v>
      </c>
      <c r="F188" s="131">
        <f t="shared" si="36"/>
        <v>0</v>
      </c>
      <c r="G188" s="70">
        <f>'Subcontract 1'!L19</f>
        <v>12</v>
      </c>
      <c r="H188" s="70" t="e">
        <f>IF(#REF!="No",('Subcontract 1'!F19*B188/12*'Subcontract 1'!$L19),('Subcontract 1'!F19*'W2'!B188))</f>
        <v>#REF!</v>
      </c>
      <c r="I188" s="70" t="e">
        <f>IF(#REF!="No",('Subcontract 1'!G19*C188/12*'Subcontract 1'!$L19),('Subcontract 1'!G19*'W2'!C188))</f>
        <v>#REF!</v>
      </c>
      <c r="J188" s="70" t="e">
        <f>IF(#REF!="No",('Subcontract 1'!H19*D188/12*'Subcontract 1'!$L19),('Subcontract 1'!H19*'W2'!D188))</f>
        <v>#REF!</v>
      </c>
      <c r="K188" s="70" t="e">
        <f>IF(#REF!="No",('Subcontract 1'!I19*E188/12*'Subcontract 1'!$L19),('Subcontract 1'!I19*'W2'!E188))</f>
        <v>#REF!</v>
      </c>
      <c r="L188" s="70" t="e">
        <f>IF(#REF!="No",('Subcontract 1'!J19*F188/12*'Subcontract 1'!$L19),('Subcontract 1'!J19*'W2'!F188))</f>
        <v>#REF!</v>
      </c>
    </row>
    <row r="189" spans="1:12" x14ac:dyDescent="0.2">
      <c r="A189" s="40">
        <f>'Subcontract 1'!B20</f>
        <v>0</v>
      </c>
      <c r="B189" s="131">
        <f t="shared" si="37"/>
        <v>12</v>
      </c>
      <c r="C189" s="131">
        <f t="shared" si="36"/>
        <v>12</v>
      </c>
      <c r="D189" s="131">
        <f t="shared" si="36"/>
        <v>0</v>
      </c>
      <c r="E189" s="131">
        <f t="shared" si="36"/>
        <v>0</v>
      </c>
      <c r="F189" s="131">
        <f t="shared" si="36"/>
        <v>0</v>
      </c>
      <c r="G189" s="70">
        <f>'Subcontract 1'!L20</f>
        <v>12</v>
      </c>
      <c r="H189" s="70" t="e">
        <f>IF(#REF!="No",('Subcontract 1'!F20*B189/12*'Subcontract 1'!$L20),('Subcontract 1'!F20*'W2'!B189))</f>
        <v>#REF!</v>
      </c>
      <c r="I189" s="70" t="e">
        <f>IF(#REF!="No",('Subcontract 1'!G20*C189/12*'Subcontract 1'!$L20),('Subcontract 1'!G20*'W2'!C189))</f>
        <v>#REF!</v>
      </c>
      <c r="J189" s="70" t="e">
        <f>IF(#REF!="No",('Subcontract 1'!H20*D189/12*'Subcontract 1'!$L20),('Subcontract 1'!H20*'W2'!D189))</f>
        <v>#REF!</v>
      </c>
      <c r="K189" s="70" t="e">
        <f>IF(#REF!="No",('Subcontract 1'!I20*E189/12*'Subcontract 1'!$L20),('Subcontract 1'!I20*'W2'!E189))</f>
        <v>#REF!</v>
      </c>
      <c r="L189" s="70" t="e">
        <f>IF(#REF!="No",('Subcontract 1'!J20*F189/12*'Subcontract 1'!$L20),('Subcontract 1'!J20*'W2'!F189))</f>
        <v>#REF!</v>
      </c>
    </row>
    <row r="190" spans="1:12" x14ac:dyDescent="0.2">
      <c r="A190" s="40">
        <f>'Subcontract 1'!B21</f>
        <v>0</v>
      </c>
      <c r="B190" s="131">
        <f t="shared" si="37"/>
        <v>12</v>
      </c>
      <c r="C190" s="131">
        <f t="shared" si="36"/>
        <v>12</v>
      </c>
      <c r="D190" s="131">
        <f t="shared" si="36"/>
        <v>0</v>
      </c>
      <c r="E190" s="131">
        <f t="shared" si="36"/>
        <v>0</v>
      </c>
      <c r="F190" s="131">
        <f t="shared" si="36"/>
        <v>0</v>
      </c>
      <c r="G190" s="70">
        <f>'Subcontract 1'!L21</f>
        <v>12</v>
      </c>
      <c r="H190" s="70" t="e">
        <f>IF(#REF!="No",('Subcontract 1'!F21*B190/12*'Subcontract 1'!$L21),('Subcontract 1'!F21*'W2'!B190))</f>
        <v>#REF!</v>
      </c>
      <c r="I190" s="70" t="e">
        <f>IF(#REF!="No",('Subcontract 1'!G21*C190/12*'Subcontract 1'!$L21),('Subcontract 1'!G21*'W2'!C190))</f>
        <v>#REF!</v>
      </c>
      <c r="J190" s="70" t="e">
        <f>IF(#REF!="No",('Subcontract 1'!H21*D190/12*'Subcontract 1'!$L21),('Subcontract 1'!H21*'W2'!D190))</f>
        <v>#REF!</v>
      </c>
      <c r="K190" s="70" t="e">
        <f>IF(#REF!="No",('Subcontract 1'!I21*E190/12*'Subcontract 1'!$L21),('Subcontract 1'!I21*'W2'!E190))</f>
        <v>#REF!</v>
      </c>
      <c r="L190" s="70" t="e">
        <f>IF(#REF!="No",('Subcontract 1'!J21*F190/12*'Subcontract 1'!$L21),('Subcontract 1'!J21*'W2'!F190))</f>
        <v>#REF!</v>
      </c>
    </row>
    <row r="191" spans="1:12" x14ac:dyDescent="0.2">
      <c r="A191" s="40">
        <f>'Subcontract 1'!B22</f>
        <v>0</v>
      </c>
      <c r="B191" s="131">
        <f t="shared" si="37"/>
        <v>12</v>
      </c>
      <c r="C191" s="131">
        <f t="shared" si="36"/>
        <v>12</v>
      </c>
      <c r="D191" s="131">
        <f t="shared" si="36"/>
        <v>0</v>
      </c>
      <c r="E191" s="131">
        <f t="shared" si="36"/>
        <v>0</v>
      </c>
      <c r="F191" s="131">
        <f t="shared" si="36"/>
        <v>0</v>
      </c>
      <c r="G191" s="70">
        <f>'Subcontract 1'!L22</f>
        <v>12</v>
      </c>
      <c r="H191" s="70" t="e">
        <f>IF(#REF!="No",('Subcontract 1'!F22*B191/12*'Subcontract 1'!$L22),('Subcontract 1'!F22*'W2'!B191))</f>
        <v>#REF!</v>
      </c>
      <c r="I191" s="70" t="e">
        <f>IF(#REF!="No",('Subcontract 1'!G22*C191/12*'Subcontract 1'!$L22),('Subcontract 1'!G22*'W2'!C191))</f>
        <v>#REF!</v>
      </c>
      <c r="J191" s="70" t="e">
        <f>IF(#REF!="No",('Subcontract 1'!H22*D191/12*'Subcontract 1'!$L22),('Subcontract 1'!H22*'W2'!D191))</f>
        <v>#REF!</v>
      </c>
      <c r="K191" s="70" t="e">
        <f>IF(#REF!="No",('Subcontract 1'!I22*E191/12*'Subcontract 1'!$L22),('Subcontract 1'!I22*'W2'!E191))</f>
        <v>#REF!</v>
      </c>
      <c r="L191" s="70" t="e">
        <f>IF(#REF!="No",('Subcontract 1'!J22*F191/12*'Subcontract 1'!$L22),('Subcontract 1'!J22*'W2'!F191))</f>
        <v>#REF!</v>
      </c>
    </row>
    <row r="192" spans="1:12" x14ac:dyDescent="0.2">
      <c r="A192" s="40">
        <f>'Subcontract 1'!B23</f>
        <v>0</v>
      </c>
      <c r="B192" s="131">
        <f t="shared" si="37"/>
        <v>12</v>
      </c>
      <c r="C192" s="131">
        <f t="shared" si="36"/>
        <v>12</v>
      </c>
      <c r="D192" s="131">
        <f t="shared" si="36"/>
        <v>0</v>
      </c>
      <c r="E192" s="131">
        <f t="shared" si="36"/>
        <v>0</v>
      </c>
      <c r="F192" s="131">
        <f t="shared" si="36"/>
        <v>0</v>
      </c>
      <c r="G192" s="70">
        <f>'Subcontract 1'!L23</f>
        <v>12</v>
      </c>
      <c r="H192" s="70" t="e">
        <f>IF(#REF!="No",('Subcontract 1'!F23*B192/12*'Subcontract 1'!$L23),('Subcontract 1'!F23*'W2'!B192))</f>
        <v>#REF!</v>
      </c>
      <c r="I192" s="70" t="e">
        <f>IF(#REF!="No",('Subcontract 1'!G23*C192/12*'Subcontract 1'!$L23),('Subcontract 1'!G23*'W2'!C192))</f>
        <v>#REF!</v>
      </c>
      <c r="J192" s="70" t="e">
        <f>IF(#REF!="No",('Subcontract 1'!H23*D192/12*'Subcontract 1'!$L23),('Subcontract 1'!H23*'W2'!D192))</f>
        <v>#REF!</v>
      </c>
      <c r="K192" s="70" t="e">
        <f>IF(#REF!="No",('Subcontract 1'!I23*E192/12*'Subcontract 1'!$L23),('Subcontract 1'!I23*'W2'!E192))</f>
        <v>#REF!</v>
      </c>
      <c r="L192" s="70" t="e">
        <f>IF(#REF!="No",('Subcontract 1'!J23*F192/12*'Subcontract 1'!$L23),('Subcontract 1'!J23*'W2'!F192))</f>
        <v>#REF!</v>
      </c>
    </row>
    <row r="193" spans="1:12" x14ac:dyDescent="0.2">
      <c r="A193" s="40">
        <f>'Subcontract 1'!B24</f>
        <v>0</v>
      </c>
      <c r="B193" s="131">
        <f t="shared" si="37"/>
        <v>12</v>
      </c>
      <c r="C193" s="131">
        <f t="shared" si="36"/>
        <v>12</v>
      </c>
      <c r="D193" s="131">
        <f t="shared" si="36"/>
        <v>0</v>
      </c>
      <c r="E193" s="131">
        <f t="shared" si="36"/>
        <v>0</v>
      </c>
      <c r="F193" s="131">
        <f t="shared" si="36"/>
        <v>0</v>
      </c>
      <c r="G193" s="70">
        <f>'Subcontract 1'!L24</f>
        <v>12</v>
      </c>
      <c r="H193" s="70" t="e">
        <f>IF(#REF!="No",('Subcontract 1'!F24*B193/12*'Subcontract 1'!$L24),('Subcontract 1'!F24*'W2'!B193))</f>
        <v>#REF!</v>
      </c>
      <c r="I193" s="70" t="e">
        <f>IF(#REF!="No",('Subcontract 1'!G24*C193/12*'Subcontract 1'!$L24),('Subcontract 1'!G24*'W2'!C193))</f>
        <v>#REF!</v>
      </c>
      <c r="J193" s="70" t="e">
        <f>IF(#REF!="No",('Subcontract 1'!H24*D193/12*'Subcontract 1'!$L24),('Subcontract 1'!H24*'W2'!D193))</f>
        <v>#REF!</v>
      </c>
      <c r="K193" s="70" t="e">
        <f>IF(#REF!="No",('Subcontract 1'!I24*E193/12*'Subcontract 1'!$L24),('Subcontract 1'!I24*'W2'!E193))</f>
        <v>#REF!</v>
      </c>
      <c r="L193" s="70" t="e">
        <f>IF(#REF!="No",('Subcontract 1'!J24*F193/12*'Subcontract 1'!$L24),('Subcontract 1'!J24*'W2'!F193))</f>
        <v>#REF!</v>
      </c>
    </row>
    <row r="194" spans="1:12" x14ac:dyDescent="0.2">
      <c r="A194" s="40">
        <f>'Subcontract 1'!B25</f>
        <v>0</v>
      </c>
      <c r="B194" s="131">
        <f t="shared" si="37"/>
        <v>12</v>
      </c>
      <c r="C194" s="131">
        <f t="shared" si="37"/>
        <v>12</v>
      </c>
      <c r="D194" s="131">
        <f t="shared" si="37"/>
        <v>0</v>
      </c>
      <c r="E194" s="131">
        <f t="shared" si="37"/>
        <v>0</v>
      </c>
      <c r="F194" s="131">
        <f t="shared" si="37"/>
        <v>0</v>
      </c>
      <c r="G194" s="70">
        <f>'Subcontract 1'!L25</f>
        <v>12</v>
      </c>
      <c r="H194" s="70" t="e">
        <f>IF(#REF!="No",('Subcontract 1'!F25*B194/12*'Subcontract 1'!$L25),('Subcontract 1'!F25*'W2'!B194))</f>
        <v>#REF!</v>
      </c>
      <c r="I194" s="70" t="e">
        <f>IF(#REF!="No",('Subcontract 1'!G25*C194/12*'Subcontract 1'!$L25),('Subcontract 1'!G25*'W2'!C194))</f>
        <v>#REF!</v>
      </c>
      <c r="J194" s="70" t="e">
        <f>IF(#REF!="No",('Subcontract 1'!H25*D194/12*'Subcontract 1'!$L25),('Subcontract 1'!H25*'W2'!D194))</f>
        <v>#REF!</v>
      </c>
      <c r="K194" s="70" t="e">
        <f>IF(#REF!="No",('Subcontract 1'!I25*E194/12*'Subcontract 1'!$L25),('Subcontract 1'!I25*'W2'!E194))</f>
        <v>#REF!</v>
      </c>
      <c r="L194" s="70" t="e">
        <f>IF(#REF!="No",('Subcontract 1'!J25*F194/12*'Subcontract 1'!$L25),('Subcontract 1'!J25*'W2'!F194))</f>
        <v>#REF!</v>
      </c>
    </row>
    <row r="195" spans="1:12" x14ac:dyDescent="0.2">
      <c r="A195" s="40">
        <f>'Subcontract 1'!B26</f>
        <v>0</v>
      </c>
      <c r="B195" s="131">
        <f t="shared" ref="B195:F200" si="38">B194</f>
        <v>12</v>
      </c>
      <c r="C195" s="131">
        <f t="shared" si="38"/>
        <v>12</v>
      </c>
      <c r="D195" s="131">
        <f t="shared" si="38"/>
        <v>0</v>
      </c>
      <c r="E195" s="131">
        <f t="shared" si="38"/>
        <v>0</v>
      </c>
      <c r="F195" s="131">
        <f t="shared" si="38"/>
        <v>0</v>
      </c>
      <c r="G195" s="70">
        <f>'Subcontract 1'!L26</f>
        <v>12</v>
      </c>
      <c r="H195" s="70" t="e">
        <f>IF(#REF!="No",('Subcontract 1'!F26*B195/12*'Subcontract 1'!$L26),('Subcontract 1'!F26*'W2'!B195))</f>
        <v>#REF!</v>
      </c>
      <c r="I195" s="70" t="e">
        <f>IF(#REF!="No",('Subcontract 1'!G26*C195/12*'Subcontract 1'!$L26),('Subcontract 1'!G26*'W2'!C195))</f>
        <v>#REF!</v>
      </c>
      <c r="J195" s="70" t="e">
        <f>IF(#REF!="No",('Subcontract 1'!H26*D195/12*'Subcontract 1'!$L26),('Subcontract 1'!H26*'W2'!D195))</f>
        <v>#REF!</v>
      </c>
      <c r="K195" s="70" t="e">
        <f>IF(#REF!="No",('Subcontract 1'!I26*E195/12*'Subcontract 1'!$L26),('Subcontract 1'!I26*'W2'!E195))</f>
        <v>#REF!</v>
      </c>
      <c r="L195" s="70" t="e">
        <f>IF(#REF!="No",('Subcontract 1'!J26*F195/12*'Subcontract 1'!$L26),('Subcontract 1'!J26*'W2'!F195))</f>
        <v>#REF!</v>
      </c>
    </row>
    <row r="196" spans="1:12" x14ac:dyDescent="0.2">
      <c r="A196" s="40">
        <f>'Subcontract 1'!B27</f>
        <v>0</v>
      </c>
      <c r="B196" s="131">
        <f t="shared" si="38"/>
        <v>12</v>
      </c>
      <c r="C196" s="131">
        <f t="shared" si="38"/>
        <v>12</v>
      </c>
      <c r="D196" s="131">
        <f t="shared" si="38"/>
        <v>0</v>
      </c>
      <c r="E196" s="131">
        <f t="shared" si="38"/>
        <v>0</v>
      </c>
      <c r="F196" s="131">
        <f t="shared" si="38"/>
        <v>0</v>
      </c>
      <c r="G196" s="70">
        <f>'Subcontract 1'!L27</f>
        <v>12</v>
      </c>
      <c r="H196" s="70" t="e">
        <f>IF(#REF!="No",('Subcontract 1'!F27*B196/12*'Subcontract 1'!$L27),('Subcontract 1'!F27*'W2'!B196))</f>
        <v>#REF!</v>
      </c>
      <c r="I196" s="70" t="e">
        <f>IF(#REF!="No",('Subcontract 1'!G27*C196/12*'Subcontract 1'!$L27),('Subcontract 1'!G27*'W2'!C196))</f>
        <v>#REF!</v>
      </c>
      <c r="J196" s="70" t="e">
        <f>IF(#REF!="No",('Subcontract 1'!H27*D196/12*'Subcontract 1'!$L27),('Subcontract 1'!H27*'W2'!D196))</f>
        <v>#REF!</v>
      </c>
      <c r="K196" s="70" t="e">
        <f>IF(#REF!="No",('Subcontract 1'!I27*E196/12*'Subcontract 1'!$L27),('Subcontract 1'!I27*'W2'!E196))</f>
        <v>#REF!</v>
      </c>
      <c r="L196" s="70" t="e">
        <f>IF(#REF!="No",('Subcontract 1'!J27*F196/12*'Subcontract 1'!$L27),('Subcontract 1'!J27*'W2'!F196))</f>
        <v>#REF!</v>
      </c>
    </row>
    <row r="197" spans="1:12" x14ac:dyDescent="0.2">
      <c r="A197" s="40">
        <f>'Subcontract 1'!B28</f>
        <v>0</v>
      </c>
      <c r="B197" s="131">
        <f t="shared" si="38"/>
        <v>12</v>
      </c>
      <c r="C197" s="131">
        <f t="shared" si="38"/>
        <v>12</v>
      </c>
      <c r="D197" s="131">
        <f t="shared" si="38"/>
        <v>0</v>
      </c>
      <c r="E197" s="131">
        <f t="shared" si="38"/>
        <v>0</v>
      </c>
      <c r="F197" s="131">
        <f t="shared" si="38"/>
        <v>0</v>
      </c>
      <c r="G197" s="70">
        <f>'Subcontract 1'!L28</f>
        <v>12</v>
      </c>
      <c r="H197" s="70" t="e">
        <f>IF(#REF!="No",('Subcontract 1'!F28*B197/12*'Subcontract 1'!$L28),('Subcontract 1'!F28*'W2'!B197))</f>
        <v>#REF!</v>
      </c>
      <c r="I197" s="70" t="e">
        <f>IF(#REF!="No",('Subcontract 1'!G28*C197/12*'Subcontract 1'!$L28),('Subcontract 1'!G28*'W2'!C197))</f>
        <v>#REF!</v>
      </c>
      <c r="J197" s="70" t="e">
        <f>IF(#REF!="No",('Subcontract 1'!H28*D197/12*'Subcontract 1'!$L28),('Subcontract 1'!H28*'W2'!D197))</f>
        <v>#REF!</v>
      </c>
      <c r="K197" s="70" t="e">
        <f>IF(#REF!="No",('Subcontract 1'!I28*E197/12*'Subcontract 1'!$L28),('Subcontract 1'!I28*'W2'!E197))</f>
        <v>#REF!</v>
      </c>
      <c r="L197" s="70" t="e">
        <f>IF(#REF!="No",('Subcontract 1'!J28*F197/12*'Subcontract 1'!$L28),('Subcontract 1'!J28*'W2'!F197))</f>
        <v>#REF!</v>
      </c>
    </row>
    <row r="198" spans="1:12" x14ac:dyDescent="0.2">
      <c r="A198" s="40">
        <f>'Subcontract 1'!B29</f>
        <v>0</v>
      </c>
      <c r="B198" s="131">
        <f t="shared" si="38"/>
        <v>12</v>
      </c>
      <c r="C198" s="131">
        <f t="shared" si="38"/>
        <v>12</v>
      </c>
      <c r="D198" s="131">
        <f t="shared" si="38"/>
        <v>0</v>
      </c>
      <c r="E198" s="131">
        <f t="shared" si="38"/>
        <v>0</v>
      </c>
      <c r="F198" s="131">
        <f t="shared" si="38"/>
        <v>0</v>
      </c>
      <c r="G198" s="70">
        <f>'Subcontract 1'!L29</f>
        <v>12</v>
      </c>
      <c r="H198" s="70" t="e">
        <f>IF(#REF!="No",('Subcontract 1'!F29*B198/12*'Subcontract 1'!$L29),('Subcontract 1'!F29*'W2'!B198))</f>
        <v>#REF!</v>
      </c>
      <c r="I198" s="70" t="e">
        <f>IF(#REF!="No",('Subcontract 1'!G29*C198/12*'Subcontract 1'!$L29),('Subcontract 1'!G29*'W2'!C198))</f>
        <v>#REF!</v>
      </c>
      <c r="J198" s="70" t="e">
        <f>IF(#REF!="No",('Subcontract 1'!H29*D198/12*'Subcontract 1'!$L29),('Subcontract 1'!H29*'W2'!D198))</f>
        <v>#REF!</v>
      </c>
      <c r="K198" s="70" t="e">
        <f>IF(#REF!="No",('Subcontract 1'!I29*E198/12*'Subcontract 1'!$L29),('Subcontract 1'!I29*'W2'!E198))</f>
        <v>#REF!</v>
      </c>
      <c r="L198" s="70" t="e">
        <f>IF(#REF!="No",('Subcontract 1'!J29*F198/12*'Subcontract 1'!$L29),('Subcontract 1'!J29*'W2'!F198))</f>
        <v>#REF!</v>
      </c>
    </row>
    <row r="199" spans="1:12" x14ac:dyDescent="0.2">
      <c r="A199" s="40">
        <f>'Subcontract 1'!B30</f>
        <v>0</v>
      </c>
      <c r="B199" s="131">
        <f t="shared" si="38"/>
        <v>12</v>
      </c>
      <c r="C199" s="131">
        <f t="shared" si="38"/>
        <v>12</v>
      </c>
      <c r="D199" s="131">
        <f t="shared" si="38"/>
        <v>0</v>
      </c>
      <c r="E199" s="131">
        <f t="shared" si="38"/>
        <v>0</v>
      </c>
      <c r="F199" s="131">
        <f t="shared" si="38"/>
        <v>0</v>
      </c>
      <c r="G199" s="70">
        <f>'Subcontract 1'!L30</f>
        <v>12</v>
      </c>
      <c r="H199" s="70" t="e">
        <f>IF(#REF!="No",('Subcontract 1'!F30*B199/12*'Subcontract 1'!$L30),('Subcontract 1'!F30*'W2'!B199))</f>
        <v>#REF!</v>
      </c>
      <c r="I199" s="70" t="e">
        <f>IF(#REF!="No",('Subcontract 1'!G30*C199/12*'Subcontract 1'!$L30),('Subcontract 1'!G30*'W2'!C199))</f>
        <v>#REF!</v>
      </c>
      <c r="J199" s="70" t="e">
        <f>IF(#REF!="No",('Subcontract 1'!H30*D199/12*'Subcontract 1'!$L30),('Subcontract 1'!H30*'W2'!D199))</f>
        <v>#REF!</v>
      </c>
      <c r="K199" s="70" t="e">
        <f>IF(#REF!="No",('Subcontract 1'!I30*E199/12*'Subcontract 1'!$L30),('Subcontract 1'!I30*'W2'!E199))</f>
        <v>#REF!</v>
      </c>
      <c r="L199" s="70" t="e">
        <f>IF(#REF!="No",('Subcontract 1'!J30*F199/12*'Subcontract 1'!$L30),('Subcontract 1'!J30*'W2'!F199))</f>
        <v>#REF!</v>
      </c>
    </row>
    <row r="200" spans="1:12" x14ac:dyDescent="0.2">
      <c r="A200" s="40">
        <f>'Subcontract 1'!B31</f>
        <v>0</v>
      </c>
      <c r="B200" s="131">
        <f t="shared" si="38"/>
        <v>12</v>
      </c>
      <c r="C200" s="131">
        <f t="shared" si="38"/>
        <v>12</v>
      </c>
      <c r="D200" s="131">
        <f t="shared" si="38"/>
        <v>0</v>
      </c>
      <c r="E200" s="131">
        <f t="shared" si="38"/>
        <v>0</v>
      </c>
      <c r="F200" s="131">
        <f t="shared" si="38"/>
        <v>0</v>
      </c>
      <c r="G200" s="70">
        <f>'Subcontract 1'!L31</f>
        <v>12</v>
      </c>
      <c r="H200" s="70" t="e">
        <f>IF(#REF!="No",('Subcontract 1'!F31*B200/12*'Subcontract 1'!$L31),('Subcontract 1'!F31*'W2'!B200))</f>
        <v>#REF!</v>
      </c>
      <c r="I200" s="70" t="e">
        <f>IF(#REF!="No",('Subcontract 1'!G31*C200/12*'Subcontract 1'!$L31),('Subcontract 1'!G31*'W2'!C200))</f>
        <v>#REF!</v>
      </c>
      <c r="J200" s="70" t="e">
        <f>IF(#REF!="No",('Subcontract 1'!H31*D200/12*'Subcontract 1'!$L31),('Subcontract 1'!H31*'W2'!D200))</f>
        <v>#REF!</v>
      </c>
      <c r="K200" s="70" t="e">
        <f>IF(#REF!="No",('Subcontract 1'!I31*E200/12*'Subcontract 1'!$L31),('Subcontract 1'!I31*'W2'!E200))</f>
        <v>#REF!</v>
      </c>
      <c r="L200" s="70" t="e">
        <f>IF(#REF!="No",('Subcontract 1'!J31*F200/12*'Subcontract 1'!$L31),('Subcontract 1'!J31*'W2'!F200))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>
        <f>C13</f>
        <v>0.5</v>
      </c>
      <c r="F204" s="112">
        <f t="shared" ref="F204:H205" si="39">D13</f>
        <v>0.5</v>
      </c>
      <c r="G204" s="112">
        <f t="shared" si="39"/>
        <v>0</v>
      </c>
      <c r="H204" s="112">
        <f t="shared" si="39"/>
        <v>0</v>
      </c>
      <c r="I204" s="112">
        <f>G13</f>
        <v>0</v>
      </c>
    </row>
    <row r="205" spans="1:12" x14ac:dyDescent="0.2">
      <c r="A205" s="318"/>
      <c r="B205" s="315" t="s">
        <v>146</v>
      </c>
      <c r="C205" s="315"/>
      <c r="D205" s="316"/>
      <c r="E205" s="112">
        <f>C14</f>
        <v>2.5</v>
      </c>
      <c r="F205" s="112">
        <f t="shared" si="39"/>
        <v>2.5</v>
      </c>
      <c r="G205" s="112">
        <f t="shared" si="39"/>
        <v>0</v>
      </c>
      <c r="H205" s="112">
        <f t="shared" si="39"/>
        <v>0</v>
      </c>
      <c r="I205" s="112">
        <f>G14</f>
        <v>0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>
        <f>IF(AND(MONTH(C2)=9,DAY(C2)&lt;=5),0.5,IF(AND(MONTH(C2)=7,DAY(C2)&lt;=5),2.5,IF(AND(MONTH(C2)=7,DAY(C2)&gt;5),2,IF(AND(MONTH(C2)=8,DAY(C2)&lt;=5),1.5,IF(AND(MONTH(C2)=8,DAY(C2)&gt;5),1,0)))))</f>
        <v>0</v>
      </c>
      <c r="F206" s="4">
        <f t="shared" ref="F206:H206" si="40">IF(AND(MONTH(D2)=9,DAY(D2)&lt;=5),0.5,IF(AND(MONTH(D2)=7,DAY(D2)&lt;=5),2.5,IF(AND(MONTH(D2)=7,DAY(D2)&gt;5),2,IF(AND(MONTH(D2)=8,DAY(D2)&lt;=5),1.5,IF(AND(MONTH(D2)=8,DAY(D2)&gt;5),1,0)))))</f>
        <v>0</v>
      </c>
      <c r="G206" s="4" t="e">
        <f t="shared" si="40"/>
        <v>#VALUE!</v>
      </c>
      <c r="H206" s="4" t="e">
        <f t="shared" si="40"/>
        <v>#VALUE!</v>
      </c>
      <c r="I206" s="4" t="e">
        <f>IF(AND(MONTH(G2)=9,DAY(G2)&lt;=5),0.5,IF(AND(MONTH(G2)=7,DAY(G2)&lt;=5),2.5,IF(AND(MONTH(G2)=7,DAY(G2)&gt;5),2,IF(AND(MONTH(G2)=8,DAY(G2)&lt;=5),1.5,IF(AND(MONTH(G2)=8,DAY(G2)&gt;5),1,0)))))</f>
        <v>#VALUE!</v>
      </c>
    </row>
    <row r="207" spans="1:12" x14ac:dyDescent="0.2">
      <c r="A207" s="318"/>
      <c r="B207" s="315" t="s">
        <v>146</v>
      </c>
      <c r="C207" s="315"/>
      <c r="D207" s="316"/>
      <c r="E207" s="4">
        <f>2.5-E206</f>
        <v>2.5</v>
      </c>
      <c r="F207" s="4">
        <f>IF(D4="",0,2.5-F206)</f>
        <v>2.5</v>
      </c>
      <c r="G207" s="4">
        <f t="shared" ref="G207:I207" si="41">IF(E4="",0,2.5-G206)</f>
        <v>0</v>
      </c>
      <c r="H207" s="4">
        <f t="shared" si="41"/>
        <v>0</v>
      </c>
      <c r="I207" s="4">
        <f t="shared" si="41"/>
        <v>0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>
        <f>IF(AND(MONTH(C2)=7,DAY(C2)&lt;=5),2,IF(AND(MONTH(C2)=7,DAY(C2)&gt;5),1.5,IF(AND(MONTH(C2)=8,DAY(C2)&lt;=5),1,IF(AND(MONTH(C2)=8,DAY(C2)&gt;5),0.5,0))))</f>
        <v>0</v>
      </c>
      <c r="F208" s="4">
        <f t="shared" ref="F208:I208" si="42">IF(AND(MONTH(D2)=7,DAY(D2)&lt;=5),2,IF(AND(MONTH(D2)=7,DAY(D2)&gt;5),1.5,IF(AND(MONTH(D2)=8,DAY(D2)&lt;=5),1,IF(AND(MONTH(D2)=8,DAY(D2)&gt;5),0.5,0))))</f>
        <v>0</v>
      </c>
      <c r="G208" s="4" t="e">
        <f t="shared" si="42"/>
        <v>#VALUE!</v>
      </c>
      <c r="H208" s="4" t="e">
        <f t="shared" si="42"/>
        <v>#VALUE!</v>
      </c>
      <c r="I208" s="4" t="e">
        <f t="shared" si="42"/>
        <v>#VALUE!</v>
      </c>
    </row>
    <row r="209" spans="1:12" x14ac:dyDescent="0.2">
      <c r="A209" s="318"/>
      <c r="B209" s="315" t="s">
        <v>146</v>
      </c>
      <c r="C209" s="315"/>
      <c r="D209" s="316"/>
      <c r="E209" s="4">
        <f>2-E208</f>
        <v>2</v>
      </c>
      <c r="F209" s="4">
        <f>IF(D4="",0,2-F208)</f>
        <v>2</v>
      </c>
      <c r="G209" s="4">
        <f t="shared" ref="G209:I209" si="43">IF(E4="",0,2-G208)</f>
        <v>0</v>
      </c>
      <c r="H209" s="4">
        <f t="shared" si="43"/>
        <v>0</v>
      </c>
      <c r="I209" s="4">
        <f t="shared" si="43"/>
        <v>0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>
        <f>IF(E206&gt;C9,C9,E206)</f>
        <v>0</v>
      </c>
      <c r="F210" s="114">
        <f>IF(F206&gt;D9,D9,F206)</f>
        <v>0</v>
      </c>
      <c r="G210" s="114" t="e">
        <f t="shared" ref="G210:I210" si="44">IF(G206&gt;E9,E9,G206)</f>
        <v>#VALUE!</v>
      </c>
      <c r="H210" s="114" t="e">
        <f t="shared" si="44"/>
        <v>#VALUE!</v>
      </c>
      <c r="I210" s="114" t="e">
        <f t="shared" si="44"/>
        <v>#VALUE!</v>
      </c>
    </row>
    <row r="211" spans="1:12" x14ac:dyDescent="0.2">
      <c r="A211" s="318"/>
      <c r="B211" s="315" t="s">
        <v>148</v>
      </c>
      <c r="C211" s="315"/>
      <c r="D211" s="316"/>
      <c r="E211" s="114">
        <f>IF(E207&gt;C10,C10,E207)</f>
        <v>2.5</v>
      </c>
      <c r="F211" s="114">
        <f t="shared" ref="F211:I211" si="45">IF(F207&gt;D10,D10,F207)</f>
        <v>2.5</v>
      </c>
      <c r="G211" s="114">
        <f t="shared" si="45"/>
        <v>0</v>
      </c>
      <c r="H211" s="114">
        <f t="shared" si="45"/>
        <v>0</v>
      </c>
      <c r="I211" s="114">
        <f t="shared" si="45"/>
        <v>0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>
        <f>IF(E208&gt;C9,C9,E208)</f>
        <v>0</v>
      </c>
      <c r="F212" s="114">
        <f t="shared" ref="F212:I213" si="46">IF(F208&gt;D9,D9,F208)</f>
        <v>0</v>
      </c>
      <c r="G212" s="114" t="e">
        <f t="shared" si="46"/>
        <v>#VALUE!</v>
      </c>
      <c r="H212" s="114" t="e">
        <f t="shared" si="46"/>
        <v>#VALUE!</v>
      </c>
      <c r="I212" s="114" t="e">
        <f t="shared" si="46"/>
        <v>#VALUE!</v>
      </c>
    </row>
    <row r="213" spans="1:12" x14ac:dyDescent="0.2">
      <c r="A213" s="318"/>
      <c r="B213" s="315" t="s">
        <v>148</v>
      </c>
      <c r="C213" s="315"/>
      <c r="D213" s="316"/>
      <c r="E213" s="114">
        <f>IF(E209&gt;C10,C10,E209)</f>
        <v>2</v>
      </c>
      <c r="F213" s="114">
        <f t="shared" si="46"/>
        <v>2</v>
      </c>
      <c r="G213" s="114">
        <f t="shared" si="46"/>
        <v>0</v>
      </c>
      <c r="H213" s="114">
        <f>IF(H209&gt;F10,F10,H209)</f>
        <v>0</v>
      </c>
      <c r="I213" s="114">
        <f t="shared" si="46"/>
        <v>0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>
        <f t="shared" ref="A218:A241" si="47">A177</f>
        <v>0</v>
      </c>
      <c r="B218" s="4">
        <f>IF(L218="A",IF(H177&lt;$E$204,H177,$E$204),IF(L218="B",IF(H177&lt;$E$210,H177,$E$210),IF(L218="C",IF(H177&lt;$E$212,H177,$E$212),IF(L218="D",0))))</f>
        <v>0</v>
      </c>
      <c r="C218" s="70" t="e">
        <f t="shared" ref="C218:C241" si="48">H177-B218</f>
        <v>#REF!</v>
      </c>
      <c r="D218" s="4">
        <f>IF(L218="A",IF(I177&lt;$F$204,I177,$F$204),IF(L218="B",IF(I177&lt;$F$210,I177,$F$210),IF(L218="C",IF(I177&lt;$F$212,I177,$F$212),IF(L218="D",0))))</f>
        <v>0</v>
      </c>
      <c r="E218" s="70" t="e">
        <f t="shared" ref="E218:E241" si="49">I177-D218</f>
        <v>#REF!</v>
      </c>
      <c r="F218" s="4">
        <f>IF(L218="A",IF(J177&lt;$G$204,J177,$G$204),IF(L218="B",IF(J177&lt;$G$210,J177,$G$210),IF(L218="C",IF(J177&lt;$G$212,J177,$G$212),IF(L218="D",0))))</f>
        <v>0</v>
      </c>
      <c r="G218" s="70" t="e">
        <f t="shared" ref="G218:G241" si="50">J177-F218</f>
        <v>#REF!</v>
      </c>
      <c r="H218" s="4">
        <f>IF(L218="A",IF(K177&lt;$H$204,K177,$H$204),IF(L218="B",IF(K177&lt;$H$210,K177,$H$210),IF(L218="C",IF(K177&lt;$H$212,K177,$H$212),IF(L218="D",0))))</f>
        <v>0</v>
      </c>
      <c r="I218" s="70" t="e">
        <f t="shared" ref="I218:I241" si="51">K177-H218</f>
        <v>#REF!</v>
      </c>
      <c r="J218" s="4">
        <f>IF(L218="A",IF(L177&lt;$I$204,L177,$I$204),IF(L218="B",IF(L177&lt;$I$210,L177,$I$210),IF(L218="C",IF(L177&lt;$I$212,L177,$I$212),IF(L218="D",0))))</f>
        <v>0</v>
      </c>
      <c r="K218" s="70" t="e">
        <f t="shared" ref="K218:K241" si="52">L177-J218</f>
        <v>#REF!</v>
      </c>
      <c r="L218" s="1" t="str">
        <f>IF('Subcontract 1'!D35="F-SMRA","A",IF('Subcontract 1'!D35="F-SMRB","B",IF('Subcontract 1'!D35="F-SMRC","C","D")))</f>
        <v>D</v>
      </c>
    </row>
    <row r="219" spans="1:12" x14ac:dyDescent="0.2">
      <c r="A219" s="257">
        <f t="shared" si="47"/>
        <v>0</v>
      </c>
      <c r="B219" s="4">
        <f t="shared" ref="B219:B241" si="53">IF(L219="A",IF(H178&lt;$E$204,H178,$E$204),IF(L219="B",IF(H178&lt;$E$210,H178,$E$210),IF(L219="C",IF(H178&lt;$E$212,H178,$E$212),IF(L219="D",0))))</f>
        <v>0</v>
      </c>
      <c r="C219" s="70" t="e">
        <f t="shared" si="48"/>
        <v>#REF!</v>
      </c>
      <c r="D219" s="4">
        <f t="shared" ref="D219:D241" si="54">IF(L219="A",IF(I178&lt;$F$204,I178,$F$204),IF(L219="B",IF(I178&lt;$F$210,I178,$F$210),IF(L219="C",IF(I178&lt;$F$212,I178,$F$212),IF(L219="D",0))))</f>
        <v>0</v>
      </c>
      <c r="E219" s="70" t="e">
        <f t="shared" si="49"/>
        <v>#REF!</v>
      </c>
      <c r="F219" s="4">
        <f t="shared" ref="F219:F241" si="55">IF(L219="A",IF(J178&lt;$G$204,J178,$G$204),IF(L219="B",IF(J178&lt;$G$210,J178,$G$210),IF(L219="C",IF(J178&lt;$G$212,J178,$G$212),IF(L219="D",0))))</f>
        <v>0</v>
      </c>
      <c r="G219" s="70" t="e">
        <f t="shared" si="50"/>
        <v>#REF!</v>
      </c>
      <c r="H219" s="4">
        <f t="shared" ref="H219:H241" si="56">IF(L219="A",IF(K178&lt;$H$204,K178,$H$204),IF(L219="B",IF(K178&lt;$H$210,K178,$H$210),IF(L219="C",IF(K178&lt;$H$212,K178,$H$212),IF(L219="D",0))))</f>
        <v>0</v>
      </c>
      <c r="I219" s="70" t="e">
        <f t="shared" si="51"/>
        <v>#REF!</v>
      </c>
      <c r="J219" s="4">
        <f t="shared" ref="J219:J241" si="57">IF(L219="A",IF(L178&lt;$I$204,L178,$I$204),IF(L219="B",IF(L178&lt;$I$210,L178,$I$210),IF(L219="C",IF(L178&lt;$I$212,L178,$I$212),IF(L219="D",0))))</f>
        <v>0</v>
      </c>
      <c r="K219" s="70" t="e">
        <f t="shared" si="52"/>
        <v>#REF!</v>
      </c>
      <c r="L219" s="1" t="str">
        <f>IF('Subcontract 1'!D36="F-SMRA","A",IF('Subcontract 1'!D36="F-SMRB","B",IF('Subcontract 1'!D36="F-SMRC","C","D")))</f>
        <v>D</v>
      </c>
    </row>
    <row r="220" spans="1:12" x14ac:dyDescent="0.2">
      <c r="A220" s="257">
        <f t="shared" si="47"/>
        <v>0</v>
      </c>
      <c r="B220" s="4">
        <f t="shared" si="53"/>
        <v>0</v>
      </c>
      <c r="C220" s="70" t="e">
        <f t="shared" si="48"/>
        <v>#REF!</v>
      </c>
      <c r="D220" s="4">
        <f t="shared" si="54"/>
        <v>0</v>
      </c>
      <c r="E220" s="70" t="e">
        <f t="shared" si="49"/>
        <v>#REF!</v>
      </c>
      <c r="F220" s="4">
        <f t="shared" si="55"/>
        <v>0</v>
      </c>
      <c r="G220" s="70" t="e">
        <f t="shared" si="50"/>
        <v>#REF!</v>
      </c>
      <c r="H220" s="4">
        <f t="shared" si="56"/>
        <v>0</v>
      </c>
      <c r="I220" s="70" t="e">
        <f t="shared" si="51"/>
        <v>#REF!</v>
      </c>
      <c r="J220" s="4">
        <f t="shared" si="57"/>
        <v>0</v>
      </c>
      <c r="K220" s="70" t="e">
        <f t="shared" si="52"/>
        <v>#REF!</v>
      </c>
      <c r="L220" s="1" t="str">
        <f>IF('Subcontract 1'!D37="F-SMRA","A",IF('Subcontract 1'!D37="F-SMRB","B",IF('Subcontract 1'!D37="F-SMRC","C","D")))</f>
        <v>D</v>
      </c>
    </row>
    <row r="221" spans="1:12" x14ac:dyDescent="0.2">
      <c r="A221" s="257">
        <f t="shared" si="47"/>
        <v>0</v>
      </c>
      <c r="B221" s="4">
        <f t="shared" si="53"/>
        <v>0</v>
      </c>
      <c r="C221" s="70" t="e">
        <f t="shared" si="48"/>
        <v>#REF!</v>
      </c>
      <c r="D221" s="4">
        <f t="shared" si="54"/>
        <v>0</v>
      </c>
      <c r="E221" s="70" t="e">
        <f t="shared" si="49"/>
        <v>#REF!</v>
      </c>
      <c r="F221" s="4">
        <f t="shared" si="55"/>
        <v>0</v>
      </c>
      <c r="G221" s="70" t="e">
        <f t="shared" si="50"/>
        <v>#REF!</v>
      </c>
      <c r="H221" s="4">
        <f t="shared" si="56"/>
        <v>0</v>
      </c>
      <c r="I221" s="70" t="e">
        <f t="shared" si="51"/>
        <v>#REF!</v>
      </c>
      <c r="J221" s="4">
        <f t="shared" si="57"/>
        <v>0</v>
      </c>
      <c r="K221" s="70" t="e">
        <f t="shared" si="52"/>
        <v>#REF!</v>
      </c>
      <c r="L221" s="1" t="str">
        <f>IF('Subcontract 1'!D38="F-SMRA","A",IF('Subcontract 1'!D38="F-SMRB","B",IF('Subcontract 1'!D38="F-SMRC","C","D")))</f>
        <v>D</v>
      </c>
    </row>
    <row r="222" spans="1:12" x14ac:dyDescent="0.2">
      <c r="A222" s="257">
        <f t="shared" si="47"/>
        <v>0</v>
      </c>
      <c r="B222" s="4">
        <f t="shared" si="53"/>
        <v>0</v>
      </c>
      <c r="C222" s="70" t="e">
        <f t="shared" si="48"/>
        <v>#REF!</v>
      </c>
      <c r="D222" s="4">
        <f t="shared" si="54"/>
        <v>0</v>
      </c>
      <c r="E222" s="70" t="e">
        <f t="shared" si="49"/>
        <v>#REF!</v>
      </c>
      <c r="F222" s="4">
        <f t="shared" si="55"/>
        <v>0</v>
      </c>
      <c r="G222" s="70" t="e">
        <f t="shared" si="50"/>
        <v>#REF!</v>
      </c>
      <c r="H222" s="4">
        <f t="shared" si="56"/>
        <v>0</v>
      </c>
      <c r="I222" s="70" t="e">
        <f t="shared" si="51"/>
        <v>#REF!</v>
      </c>
      <c r="J222" s="4">
        <f t="shared" si="57"/>
        <v>0</v>
      </c>
      <c r="K222" s="70" t="e">
        <f t="shared" si="52"/>
        <v>#REF!</v>
      </c>
      <c r="L222" s="1" t="str">
        <f>IF('Subcontract 1'!D39="F-SMRA","A",IF('Subcontract 1'!D39="F-SMRB","B",IF('Subcontract 1'!D39="F-SMRC","C","D")))</f>
        <v>D</v>
      </c>
    </row>
    <row r="223" spans="1:12" x14ac:dyDescent="0.2">
      <c r="A223" s="257">
        <f t="shared" si="47"/>
        <v>0</v>
      </c>
      <c r="B223" s="4">
        <f t="shared" si="53"/>
        <v>0</v>
      </c>
      <c r="C223" s="70" t="e">
        <f t="shared" si="48"/>
        <v>#REF!</v>
      </c>
      <c r="D223" s="4">
        <f t="shared" si="54"/>
        <v>0</v>
      </c>
      <c r="E223" s="70" t="e">
        <f t="shared" si="49"/>
        <v>#REF!</v>
      </c>
      <c r="F223" s="4">
        <f t="shared" si="55"/>
        <v>0</v>
      </c>
      <c r="G223" s="70" t="e">
        <f t="shared" si="50"/>
        <v>#REF!</v>
      </c>
      <c r="H223" s="4">
        <f t="shared" si="56"/>
        <v>0</v>
      </c>
      <c r="I223" s="70" t="e">
        <f t="shared" si="51"/>
        <v>#REF!</v>
      </c>
      <c r="J223" s="4">
        <f>IF(L223="A",IF(L182&lt;$I$204,L182,$I$204),IF(L223="B",IF(L182&lt;$I$210,L182,$I$210),IF(L223="C",IF(L182&lt;$I$212,L182,$I$212),IF(L223="D",0))))</f>
        <v>0</v>
      </c>
      <c r="K223" s="70" t="e">
        <f t="shared" si="52"/>
        <v>#REF!</v>
      </c>
      <c r="L223" s="1" t="str">
        <f>IF('Subcontract 1'!D40="F-SMRA","A",IF('Subcontract 1'!D40="F-SMRB","B",IF('Subcontract 1'!D40="F-SMRC","C","D")))</f>
        <v>D</v>
      </c>
    </row>
    <row r="224" spans="1:12" x14ac:dyDescent="0.2">
      <c r="A224" s="257">
        <f t="shared" si="47"/>
        <v>0</v>
      </c>
      <c r="B224" s="4">
        <f t="shared" si="53"/>
        <v>0</v>
      </c>
      <c r="C224" s="70" t="e">
        <f t="shared" si="48"/>
        <v>#REF!</v>
      </c>
      <c r="D224" s="4">
        <f t="shared" si="54"/>
        <v>0</v>
      </c>
      <c r="E224" s="70" t="e">
        <f t="shared" si="49"/>
        <v>#REF!</v>
      </c>
      <c r="F224" s="4">
        <f t="shared" si="55"/>
        <v>0</v>
      </c>
      <c r="G224" s="70" t="e">
        <f t="shared" si="50"/>
        <v>#REF!</v>
      </c>
      <c r="H224" s="4">
        <f t="shared" si="56"/>
        <v>0</v>
      </c>
      <c r="I224" s="70" t="e">
        <f t="shared" si="51"/>
        <v>#REF!</v>
      </c>
      <c r="J224" s="4">
        <f t="shared" si="57"/>
        <v>0</v>
      </c>
      <c r="K224" s="70" t="e">
        <f t="shared" si="52"/>
        <v>#REF!</v>
      </c>
      <c r="L224" s="1" t="str">
        <f>IF('Subcontract 1'!D41="F-SMRA","A",IF('Subcontract 1'!D41="F-SMRB","B",IF('Subcontract 1'!D41="F-SMRC","C","D")))</f>
        <v>D</v>
      </c>
    </row>
    <row r="225" spans="1:12" x14ac:dyDescent="0.2">
      <c r="A225" s="257">
        <f t="shared" si="47"/>
        <v>0</v>
      </c>
      <c r="B225" s="4">
        <f t="shared" si="53"/>
        <v>0</v>
      </c>
      <c r="C225" s="70" t="e">
        <f t="shared" si="48"/>
        <v>#REF!</v>
      </c>
      <c r="D225" s="4">
        <f t="shared" si="54"/>
        <v>0</v>
      </c>
      <c r="E225" s="70" t="e">
        <f t="shared" si="49"/>
        <v>#REF!</v>
      </c>
      <c r="F225" s="4">
        <f t="shared" si="55"/>
        <v>0</v>
      </c>
      <c r="G225" s="70" t="e">
        <f t="shared" si="50"/>
        <v>#REF!</v>
      </c>
      <c r="H225" s="4">
        <f t="shared" si="56"/>
        <v>0</v>
      </c>
      <c r="I225" s="70" t="e">
        <f t="shared" si="51"/>
        <v>#REF!</v>
      </c>
      <c r="J225" s="4">
        <f t="shared" si="57"/>
        <v>0</v>
      </c>
      <c r="K225" s="70" t="e">
        <f t="shared" si="52"/>
        <v>#REF!</v>
      </c>
      <c r="L225" s="1" t="str">
        <f>IF('Subcontract 1'!D42="F-SMRA","A",IF('Subcontract 1'!D42="F-SMRB","B",IF('Subcontract 1'!D42="F-SMRC","C","D")))</f>
        <v>D</v>
      </c>
    </row>
    <row r="226" spans="1:12" x14ac:dyDescent="0.2">
      <c r="A226" s="257">
        <f t="shared" si="47"/>
        <v>0</v>
      </c>
      <c r="B226" s="4">
        <f t="shared" si="53"/>
        <v>0</v>
      </c>
      <c r="C226" s="70" t="e">
        <f t="shared" si="48"/>
        <v>#REF!</v>
      </c>
      <c r="D226" s="4">
        <f t="shared" si="54"/>
        <v>0</v>
      </c>
      <c r="E226" s="70" t="e">
        <f t="shared" si="49"/>
        <v>#REF!</v>
      </c>
      <c r="F226" s="4">
        <f t="shared" si="55"/>
        <v>0</v>
      </c>
      <c r="G226" s="70" t="e">
        <f t="shared" si="50"/>
        <v>#REF!</v>
      </c>
      <c r="H226" s="4">
        <f t="shared" si="56"/>
        <v>0</v>
      </c>
      <c r="I226" s="70" t="e">
        <f t="shared" si="51"/>
        <v>#REF!</v>
      </c>
      <c r="J226" s="4">
        <f t="shared" si="57"/>
        <v>0</v>
      </c>
      <c r="K226" s="70" t="e">
        <f t="shared" si="52"/>
        <v>#REF!</v>
      </c>
      <c r="L226" s="1" t="str">
        <f>IF('Subcontract 1'!D43="F-SMRA","A",IF('Subcontract 1'!D43="F-SMRB","B",IF('Subcontract 1'!D43="F-SMRC","C","D")))</f>
        <v>D</v>
      </c>
    </row>
    <row r="227" spans="1:12" x14ac:dyDescent="0.2">
      <c r="A227" s="257">
        <f t="shared" si="47"/>
        <v>0</v>
      </c>
      <c r="B227" s="4">
        <f t="shared" si="53"/>
        <v>0</v>
      </c>
      <c r="C227" s="70" t="e">
        <f t="shared" si="48"/>
        <v>#REF!</v>
      </c>
      <c r="D227" s="4">
        <f t="shared" si="54"/>
        <v>0</v>
      </c>
      <c r="E227" s="70" t="e">
        <f t="shared" si="49"/>
        <v>#REF!</v>
      </c>
      <c r="F227" s="4">
        <f t="shared" si="55"/>
        <v>0</v>
      </c>
      <c r="G227" s="70" t="e">
        <f t="shared" si="50"/>
        <v>#REF!</v>
      </c>
      <c r="H227" s="4">
        <f t="shared" si="56"/>
        <v>0</v>
      </c>
      <c r="I227" s="70" t="e">
        <f t="shared" si="51"/>
        <v>#REF!</v>
      </c>
      <c r="J227" s="4">
        <f t="shared" si="57"/>
        <v>0</v>
      </c>
      <c r="K227" s="70" t="e">
        <f t="shared" si="52"/>
        <v>#REF!</v>
      </c>
      <c r="L227" s="1" t="str">
        <f>IF('Subcontract 1'!D44="F-SMRA","A",IF('Subcontract 1'!D44="F-SMRB","B",IF('Subcontract 1'!D44="F-SMRC","C","D")))</f>
        <v>D</v>
      </c>
    </row>
    <row r="228" spans="1:12" x14ac:dyDescent="0.2">
      <c r="A228" s="257">
        <f t="shared" si="47"/>
        <v>0</v>
      </c>
      <c r="B228" s="4">
        <f t="shared" si="53"/>
        <v>0</v>
      </c>
      <c r="C228" s="70" t="e">
        <f t="shared" si="48"/>
        <v>#REF!</v>
      </c>
      <c r="D228" s="4">
        <f t="shared" si="54"/>
        <v>0</v>
      </c>
      <c r="E228" s="70" t="e">
        <f t="shared" si="49"/>
        <v>#REF!</v>
      </c>
      <c r="F228" s="4">
        <f t="shared" si="55"/>
        <v>0</v>
      </c>
      <c r="G228" s="70" t="e">
        <f t="shared" si="50"/>
        <v>#REF!</v>
      </c>
      <c r="H228" s="4">
        <f t="shared" si="56"/>
        <v>0</v>
      </c>
      <c r="I228" s="70" t="e">
        <f t="shared" si="51"/>
        <v>#REF!</v>
      </c>
      <c r="J228" s="4">
        <f t="shared" si="57"/>
        <v>0</v>
      </c>
      <c r="K228" s="70" t="e">
        <f t="shared" si="52"/>
        <v>#REF!</v>
      </c>
      <c r="L228" s="1" t="str">
        <f>IF('Subcontract 1'!D45="F-SMRA","A",IF('Subcontract 1'!D45="F-SMRB","B",IF('Subcontract 1'!D45="F-SMRC","C","D")))</f>
        <v>D</v>
      </c>
    </row>
    <row r="229" spans="1:12" x14ac:dyDescent="0.2">
      <c r="A229" s="257">
        <f t="shared" si="47"/>
        <v>0</v>
      </c>
      <c r="B229" s="4">
        <f t="shared" si="53"/>
        <v>0</v>
      </c>
      <c r="C229" s="70" t="e">
        <f t="shared" si="48"/>
        <v>#REF!</v>
      </c>
      <c r="D229" s="4">
        <f t="shared" si="54"/>
        <v>0</v>
      </c>
      <c r="E229" s="70" t="e">
        <f t="shared" si="49"/>
        <v>#REF!</v>
      </c>
      <c r="F229" s="4">
        <f t="shared" si="55"/>
        <v>0</v>
      </c>
      <c r="G229" s="70" t="e">
        <f t="shared" si="50"/>
        <v>#REF!</v>
      </c>
      <c r="H229" s="4">
        <f t="shared" si="56"/>
        <v>0</v>
      </c>
      <c r="I229" s="70" t="e">
        <f t="shared" si="51"/>
        <v>#REF!</v>
      </c>
      <c r="J229" s="4">
        <f t="shared" si="57"/>
        <v>0</v>
      </c>
      <c r="K229" s="70" t="e">
        <f t="shared" si="52"/>
        <v>#REF!</v>
      </c>
      <c r="L229" s="1" t="str">
        <f>IF('Subcontract 1'!D46="F-SMRA","A",IF('Subcontract 1'!D46="F-SMRB","B",IF('Subcontract 1'!D46="F-SMRC","C","D")))</f>
        <v>D</v>
      </c>
    </row>
    <row r="230" spans="1:12" x14ac:dyDescent="0.2">
      <c r="A230" s="257">
        <f t="shared" si="47"/>
        <v>0</v>
      </c>
      <c r="B230" s="4">
        <f t="shared" si="53"/>
        <v>0</v>
      </c>
      <c r="C230" s="70" t="e">
        <f t="shared" si="48"/>
        <v>#REF!</v>
      </c>
      <c r="D230" s="4">
        <f t="shared" si="54"/>
        <v>0</v>
      </c>
      <c r="E230" s="70" t="e">
        <f t="shared" si="49"/>
        <v>#REF!</v>
      </c>
      <c r="F230" s="4">
        <f t="shared" si="55"/>
        <v>0</v>
      </c>
      <c r="G230" s="70" t="e">
        <f t="shared" si="50"/>
        <v>#REF!</v>
      </c>
      <c r="H230" s="4">
        <f t="shared" si="56"/>
        <v>0</v>
      </c>
      <c r="I230" s="70" t="e">
        <f t="shared" si="51"/>
        <v>#REF!</v>
      </c>
      <c r="J230" s="4">
        <f t="shared" si="57"/>
        <v>0</v>
      </c>
      <c r="K230" s="70" t="e">
        <f t="shared" si="52"/>
        <v>#REF!</v>
      </c>
      <c r="L230" s="1" t="str">
        <f>IF('Subcontract 1'!D47="F-SMRA","A",IF('Subcontract 1'!D47="F-SMRB","B",IF('Subcontract 1'!D47="F-SMRC","C","D")))</f>
        <v>D</v>
      </c>
    </row>
    <row r="231" spans="1:12" x14ac:dyDescent="0.2">
      <c r="A231" s="257">
        <f t="shared" si="47"/>
        <v>0</v>
      </c>
      <c r="B231" s="4">
        <f t="shared" si="53"/>
        <v>0</v>
      </c>
      <c r="C231" s="70" t="e">
        <f t="shared" si="48"/>
        <v>#REF!</v>
      </c>
      <c r="D231" s="4">
        <f t="shared" si="54"/>
        <v>0</v>
      </c>
      <c r="E231" s="70" t="e">
        <f t="shared" si="49"/>
        <v>#REF!</v>
      </c>
      <c r="F231" s="4">
        <f t="shared" si="55"/>
        <v>0</v>
      </c>
      <c r="G231" s="70" t="e">
        <f t="shared" si="50"/>
        <v>#REF!</v>
      </c>
      <c r="H231" s="4">
        <f t="shared" si="56"/>
        <v>0</v>
      </c>
      <c r="I231" s="70" t="e">
        <f t="shared" si="51"/>
        <v>#REF!</v>
      </c>
      <c r="J231" s="4">
        <f t="shared" si="57"/>
        <v>0</v>
      </c>
      <c r="K231" s="70" t="e">
        <f t="shared" si="52"/>
        <v>#REF!</v>
      </c>
      <c r="L231" s="1" t="str">
        <f>IF('Subcontract 1'!D48="F-SMRA","A",IF('Subcontract 1'!D48="F-SMRB","B",IF('Subcontract 1'!D48="F-SMRC","C","D")))</f>
        <v>D</v>
      </c>
    </row>
    <row r="232" spans="1:12" x14ac:dyDescent="0.2">
      <c r="A232" s="257">
        <f t="shared" si="47"/>
        <v>0</v>
      </c>
      <c r="B232" s="4">
        <f t="shared" si="53"/>
        <v>0</v>
      </c>
      <c r="C232" s="70" t="e">
        <f t="shared" si="48"/>
        <v>#REF!</v>
      </c>
      <c r="D232" s="4">
        <f t="shared" si="54"/>
        <v>0</v>
      </c>
      <c r="E232" s="70" t="e">
        <f t="shared" si="49"/>
        <v>#REF!</v>
      </c>
      <c r="F232" s="4">
        <f t="shared" si="55"/>
        <v>0</v>
      </c>
      <c r="G232" s="70" t="e">
        <f t="shared" si="50"/>
        <v>#REF!</v>
      </c>
      <c r="H232" s="4">
        <f t="shared" si="56"/>
        <v>0</v>
      </c>
      <c r="I232" s="70" t="e">
        <f t="shared" si="51"/>
        <v>#REF!</v>
      </c>
      <c r="J232" s="4">
        <f t="shared" si="57"/>
        <v>0</v>
      </c>
      <c r="K232" s="70" t="e">
        <f t="shared" si="52"/>
        <v>#REF!</v>
      </c>
      <c r="L232" s="1" t="str">
        <f>IF('Subcontract 1'!D49="F-SMRA","A",IF('Subcontract 1'!D49="F-SMRB","B",IF('Subcontract 1'!D49="F-SMRC","C","D")))</f>
        <v>D</v>
      </c>
    </row>
    <row r="233" spans="1:12" x14ac:dyDescent="0.2">
      <c r="A233" s="257">
        <f t="shared" si="47"/>
        <v>0</v>
      </c>
      <c r="B233" s="4">
        <f t="shared" si="53"/>
        <v>0</v>
      </c>
      <c r="C233" s="70" t="e">
        <f t="shared" si="48"/>
        <v>#REF!</v>
      </c>
      <c r="D233" s="4">
        <f t="shared" si="54"/>
        <v>0</v>
      </c>
      <c r="E233" s="70" t="e">
        <f t="shared" si="49"/>
        <v>#REF!</v>
      </c>
      <c r="F233" s="4">
        <f t="shared" si="55"/>
        <v>0</v>
      </c>
      <c r="G233" s="70" t="e">
        <f t="shared" si="50"/>
        <v>#REF!</v>
      </c>
      <c r="H233" s="4">
        <f t="shared" si="56"/>
        <v>0</v>
      </c>
      <c r="I233" s="70" t="e">
        <f t="shared" si="51"/>
        <v>#REF!</v>
      </c>
      <c r="J233" s="4">
        <f t="shared" si="57"/>
        <v>0</v>
      </c>
      <c r="K233" s="70" t="e">
        <f t="shared" si="52"/>
        <v>#REF!</v>
      </c>
      <c r="L233" s="1" t="str">
        <f>IF('Subcontract 1'!D50="F-SMRA","A",IF('Subcontract 1'!D50="F-SMRB","B",IF('Subcontract 1'!D50="F-SMRC","C","D")))</f>
        <v>D</v>
      </c>
    </row>
    <row r="234" spans="1:12" x14ac:dyDescent="0.2">
      <c r="A234" s="257">
        <f t="shared" si="47"/>
        <v>0</v>
      </c>
      <c r="B234" s="4">
        <f t="shared" si="53"/>
        <v>0</v>
      </c>
      <c r="C234" s="70" t="e">
        <f t="shared" si="48"/>
        <v>#REF!</v>
      </c>
      <c r="D234" s="4">
        <f t="shared" si="54"/>
        <v>0</v>
      </c>
      <c r="E234" s="70" t="e">
        <f t="shared" si="49"/>
        <v>#REF!</v>
      </c>
      <c r="F234" s="4">
        <f t="shared" si="55"/>
        <v>0</v>
      </c>
      <c r="G234" s="70" t="e">
        <f t="shared" si="50"/>
        <v>#REF!</v>
      </c>
      <c r="H234" s="4">
        <f t="shared" si="56"/>
        <v>0</v>
      </c>
      <c r="I234" s="70" t="e">
        <f t="shared" si="51"/>
        <v>#REF!</v>
      </c>
      <c r="J234" s="4">
        <f t="shared" si="57"/>
        <v>0</v>
      </c>
      <c r="K234" s="70" t="e">
        <f t="shared" si="52"/>
        <v>#REF!</v>
      </c>
      <c r="L234" s="1" t="str">
        <f>IF('Subcontract 1'!D51="F-SMRA","A",IF('Subcontract 1'!D51="F-SMRB","B",IF('Subcontract 1'!D51="F-SMRC","C","D")))</f>
        <v>D</v>
      </c>
    </row>
    <row r="235" spans="1:12" x14ac:dyDescent="0.2">
      <c r="A235" s="257">
        <f t="shared" si="47"/>
        <v>0</v>
      </c>
      <c r="B235" s="4">
        <f t="shared" si="53"/>
        <v>0</v>
      </c>
      <c r="C235" s="70" t="e">
        <f t="shared" si="48"/>
        <v>#REF!</v>
      </c>
      <c r="D235" s="4">
        <f t="shared" si="54"/>
        <v>0</v>
      </c>
      <c r="E235" s="70" t="e">
        <f t="shared" si="49"/>
        <v>#REF!</v>
      </c>
      <c r="F235" s="4">
        <f t="shared" si="55"/>
        <v>0</v>
      </c>
      <c r="G235" s="70" t="e">
        <f t="shared" si="50"/>
        <v>#REF!</v>
      </c>
      <c r="H235" s="4">
        <f t="shared" si="56"/>
        <v>0</v>
      </c>
      <c r="I235" s="70" t="e">
        <f t="shared" si="51"/>
        <v>#REF!</v>
      </c>
      <c r="J235" s="4">
        <f t="shared" si="57"/>
        <v>0</v>
      </c>
      <c r="K235" s="70" t="e">
        <f t="shared" si="52"/>
        <v>#REF!</v>
      </c>
      <c r="L235" s="1" t="str">
        <f>IF('Subcontract 1'!D52="F-SMRA","A",IF('Subcontract 1'!D52="F-SMRB","B",IF('Subcontract 1'!D52="F-SMRC","C","D")))</f>
        <v>D</v>
      </c>
    </row>
    <row r="236" spans="1:12" x14ac:dyDescent="0.2">
      <c r="A236" s="257">
        <f t="shared" si="47"/>
        <v>0</v>
      </c>
      <c r="B236" s="4">
        <f t="shared" si="53"/>
        <v>0</v>
      </c>
      <c r="C236" s="70" t="e">
        <f t="shared" si="48"/>
        <v>#REF!</v>
      </c>
      <c r="D236" s="4">
        <f t="shared" si="54"/>
        <v>0</v>
      </c>
      <c r="E236" s="70" t="e">
        <f t="shared" si="49"/>
        <v>#REF!</v>
      </c>
      <c r="F236" s="4">
        <f t="shared" si="55"/>
        <v>0</v>
      </c>
      <c r="G236" s="70" t="e">
        <f t="shared" si="50"/>
        <v>#REF!</v>
      </c>
      <c r="H236" s="4">
        <f t="shared" si="56"/>
        <v>0</v>
      </c>
      <c r="I236" s="70" t="e">
        <f t="shared" si="51"/>
        <v>#REF!</v>
      </c>
      <c r="J236" s="4">
        <f t="shared" si="57"/>
        <v>0</v>
      </c>
      <c r="K236" s="70" t="e">
        <f t="shared" si="52"/>
        <v>#REF!</v>
      </c>
      <c r="L236" s="1" t="str">
        <f>IF('Subcontract 1'!D53="F-SMRA","A",IF('Subcontract 1'!D53="F-SMRB","B",IF('Subcontract 1'!D53="F-SMRC","C","D")))</f>
        <v>D</v>
      </c>
    </row>
    <row r="237" spans="1:12" x14ac:dyDescent="0.2">
      <c r="A237" s="257">
        <f t="shared" si="47"/>
        <v>0</v>
      </c>
      <c r="B237" s="4">
        <f t="shared" si="53"/>
        <v>0</v>
      </c>
      <c r="C237" s="70" t="e">
        <f t="shared" si="48"/>
        <v>#REF!</v>
      </c>
      <c r="D237" s="4">
        <f t="shared" si="54"/>
        <v>0</v>
      </c>
      <c r="E237" s="70" t="e">
        <f t="shared" si="49"/>
        <v>#REF!</v>
      </c>
      <c r="F237" s="4">
        <f t="shared" si="55"/>
        <v>0</v>
      </c>
      <c r="G237" s="70" t="e">
        <f t="shared" si="50"/>
        <v>#REF!</v>
      </c>
      <c r="H237" s="4">
        <f t="shared" si="56"/>
        <v>0</v>
      </c>
      <c r="I237" s="70" t="e">
        <f t="shared" si="51"/>
        <v>#REF!</v>
      </c>
      <c r="J237" s="4">
        <f t="shared" si="57"/>
        <v>0</v>
      </c>
      <c r="K237" s="70" t="e">
        <f t="shared" si="52"/>
        <v>#REF!</v>
      </c>
      <c r="L237" s="1" t="str">
        <f>IF('Subcontract 1'!D54="F-SMRA","A",IF('Subcontract 1'!D54="F-SMRB","B",IF('Subcontract 1'!D54="F-SMRC","C","D")))</f>
        <v>D</v>
      </c>
    </row>
    <row r="238" spans="1:12" x14ac:dyDescent="0.2">
      <c r="A238" s="257">
        <f t="shared" si="47"/>
        <v>0</v>
      </c>
      <c r="B238" s="4">
        <f t="shared" si="53"/>
        <v>0</v>
      </c>
      <c r="C238" s="70" t="e">
        <f t="shared" si="48"/>
        <v>#REF!</v>
      </c>
      <c r="D238" s="4">
        <f t="shared" si="54"/>
        <v>0</v>
      </c>
      <c r="E238" s="70" t="e">
        <f t="shared" si="49"/>
        <v>#REF!</v>
      </c>
      <c r="F238" s="4">
        <f t="shared" si="55"/>
        <v>0</v>
      </c>
      <c r="G238" s="70" t="e">
        <f t="shared" si="50"/>
        <v>#REF!</v>
      </c>
      <c r="H238" s="4">
        <f t="shared" si="56"/>
        <v>0</v>
      </c>
      <c r="I238" s="70" t="e">
        <f t="shared" si="51"/>
        <v>#REF!</v>
      </c>
      <c r="J238" s="4">
        <f t="shared" si="57"/>
        <v>0</v>
      </c>
      <c r="K238" s="70" t="e">
        <f t="shared" si="52"/>
        <v>#REF!</v>
      </c>
      <c r="L238" s="1" t="str">
        <f>IF('Subcontract 1'!D55="F-SMRA","A",IF('Subcontract 1'!D55="F-SMRB","B",IF('Subcontract 1'!D55="F-SMRC","C","D")))</f>
        <v>D</v>
      </c>
    </row>
    <row r="239" spans="1:12" x14ac:dyDescent="0.2">
      <c r="A239" s="257">
        <f t="shared" si="47"/>
        <v>0</v>
      </c>
      <c r="B239" s="4">
        <f t="shared" si="53"/>
        <v>0</v>
      </c>
      <c r="C239" s="70" t="e">
        <f t="shared" si="48"/>
        <v>#REF!</v>
      </c>
      <c r="D239" s="4">
        <f t="shared" si="54"/>
        <v>0</v>
      </c>
      <c r="E239" s="70" t="e">
        <f t="shared" si="49"/>
        <v>#REF!</v>
      </c>
      <c r="F239" s="4">
        <f t="shared" si="55"/>
        <v>0</v>
      </c>
      <c r="G239" s="70" t="e">
        <f t="shared" si="50"/>
        <v>#REF!</v>
      </c>
      <c r="H239" s="4">
        <f t="shared" si="56"/>
        <v>0</v>
      </c>
      <c r="I239" s="70" t="e">
        <f t="shared" si="51"/>
        <v>#REF!</v>
      </c>
      <c r="J239" s="4">
        <f t="shared" si="57"/>
        <v>0</v>
      </c>
      <c r="K239" s="70" t="e">
        <f t="shared" si="52"/>
        <v>#REF!</v>
      </c>
      <c r="L239" s="1" t="str">
        <f>IF('Subcontract 1'!D56="F-SMRA","A",IF('Subcontract 1'!D56="F-SMRB","B",IF('Subcontract 1'!D56="F-SMRC","C","D")))</f>
        <v>D</v>
      </c>
    </row>
    <row r="240" spans="1:12" x14ac:dyDescent="0.2">
      <c r="A240" s="257">
        <f t="shared" si="47"/>
        <v>0</v>
      </c>
      <c r="B240" s="4">
        <f t="shared" si="53"/>
        <v>0</v>
      </c>
      <c r="C240" s="70" t="e">
        <f t="shared" si="48"/>
        <v>#REF!</v>
      </c>
      <c r="D240" s="4">
        <f t="shared" si="54"/>
        <v>0</v>
      </c>
      <c r="E240" s="70" t="e">
        <f t="shared" si="49"/>
        <v>#REF!</v>
      </c>
      <c r="F240" s="4">
        <f t="shared" si="55"/>
        <v>0</v>
      </c>
      <c r="G240" s="70" t="e">
        <f t="shared" si="50"/>
        <v>#REF!</v>
      </c>
      <c r="H240" s="4">
        <f t="shared" si="56"/>
        <v>0</v>
      </c>
      <c r="I240" s="70" t="e">
        <f t="shared" si="51"/>
        <v>#REF!</v>
      </c>
      <c r="J240" s="4">
        <f t="shared" si="57"/>
        <v>0</v>
      </c>
      <c r="K240" s="70" t="e">
        <f t="shared" si="52"/>
        <v>#REF!</v>
      </c>
      <c r="L240" s="1" t="str">
        <f>IF('Subcontract 1'!D57="F-SMRA","A",IF('Subcontract 1'!D57="F-SMRB","B",IF('Subcontract 1'!D57="F-SMRC","C","D")))</f>
        <v>D</v>
      </c>
    </row>
    <row r="241" spans="1:12" x14ac:dyDescent="0.2">
      <c r="A241" s="77">
        <f t="shared" si="47"/>
        <v>0</v>
      </c>
      <c r="B241" s="4">
        <f t="shared" si="53"/>
        <v>0</v>
      </c>
      <c r="C241" s="70" t="e">
        <f t="shared" si="48"/>
        <v>#REF!</v>
      </c>
      <c r="D241" s="4">
        <f t="shared" si="54"/>
        <v>0</v>
      </c>
      <c r="E241" s="70" t="e">
        <f t="shared" si="49"/>
        <v>#REF!</v>
      </c>
      <c r="F241" s="4">
        <f t="shared" si="55"/>
        <v>0</v>
      </c>
      <c r="G241" s="70" t="e">
        <f t="shared" si="50"/>
        <v>#REF!</v>
      </c>
      <c r="H241" s="4">
        <f t="shared" si="56"/>
        <v>0</v>
      </c>
      <c r="I241" s="70" t="e">
        <f t="shared" si="51"/>
        <v>#REF!</v>
      </c>
      <c r="J241" s="4">
        <f t="shared" si="57"/>
        <v>0</v>
      </c>
      <c r="K241" s="70" t="e">
        <f t="shared" si="52"/>
        <v>#REF!</v>
      </c>
      <c r="L241" s="1" t="str">
        <f>IF('Subcontract 1'!D58="F-SMRA","A",IF('Subcontract 1'!D58="F-SMRB","B",IF('Subcontract 1'!D58="F-SMRC","C","D")))</f>
        <v>D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>
        <f t="shared" si="58"/>
        <v>0</v>
      </c>
      <c r="G247" s="83">
        <f t="shared" si="58"/>
        <v>0</v>
      </c>
      <c r="H247" s="83">
        <f t="shared" si="58"/>
        <v>0</v>
      </c>
      <c r="I247" s="83">
        <f t="shared" si="58"/>
        <v>0</v>
      </c>
      <c r="J247" s="83">
        <f t="shared" si="58"/>
        <v>0</v>
      </c>
      <c r="K247" s="83">
        <f t="shared" si="58"/>
        <v>0</v>
      </c>
    </row>
    <row r="248" spans="1:12" x14ac:dyDescent="0.2">
      <c r="A248" s="75">
        <f>A218</f>
        <v>0</v>
      </c>
      <c r="B248" s="4">
        <f>B218</f>
        <v>0</v>
      </c>
      <c r="C248" s="4" t="e">
        <f t="shared" ref="C248:K248" si="59">C218</f>
        <v>#REF!</v>
      </c>
      <c r="D248" s="4">
        <f t="shared" si="59"/>
        <v>0</v>
      </c>
      <c r="E248" s="4" t="e">
        <f t="shared" si="59"/>
        <v>#REF!</v>
      </c>
      <c r="F248" s="4">
        <f t="shared" si="59"/>
        <v>0</v>
      </c>
      <c r="G248" s="4" t="e">
        <f t="shared" si="59"/>
        <v>#REF!</v>
      </c>
      <c r="H248" s="4">
        <f t="shared" si="59"/>
        <v>0</v>
      </c>
      <c r="I248" s="4" t="e">
        <f t="shared" si="59"/>
        <v>#REF!</v>
      </c>
      <c r="J248" s="4">
        <f t="shared" si="59"/>
        <v>0</v>
      </c>
      <c r="K248" s="4" t="e">
        <f t="shared" si="59"/>
        <v>#REF!</v>
      </c>
    </row>
    <row r="249" spans="1:12" x14ac:dyDescent="0.2">
      <c r="A249" s="75">
        <f t="shared" ref="A249:K264" si="60">A219</f>
        <v>0</v>
      </c>
      <c r="B249" s="4">
        <f t="shared" si="60"/>
        <v>0</v>
      </c>
      <c r="C249" s="4" t="e">
        <f t="shared" si="60"/>
        <v>#REF!</v>
      </c>
      <c r="D249" s="4">
        <f t="shared" si="60"/>
        <v>0</v>
      </c>
      <c r="E249" s="4" t="e">
        <f t="shared" si="60"/>
        <v>#REF!</v>
      </c>
      <c r="F249" s="4">
        <f t="shared" si="60"/>
        <v>0</v>
      </c>
      <c r="G249" s="4" t="e">
        <f t="shared" si="60"/>
        <v>#REF!</v>
      </c>
      <c r="H249" s="4">
        <f t="shared" si="60"/>
        <v>0</v>
      </c>
      <c r="I249" s="4" t="e">
        <f t="shared" si="60"/>
        <v>#REF!</v>
      </c>
      <c r="J249" s="4">
        <f t="shared" si="60"/>
        <v>0</v>
      </c>
      <c r="K249" s="4" t="e">
        <f t="shared" si="60"/>
        <v>#REF!</v>
      </c>
    </row>
    <row r="250" spans="1:12" x14ac:dyDescent="0.2">
      <c r="A250" s="75">
        <f t="shared" si="60"/>
        <v>0</v>
      </c>
      <c r="B250" s="4">
        <f t="shared" si="60"/>
        <v>0</v>
      </c>
      <c r="C250" s="4" t="e">
        <f t="shared" si="60"/>
        <v>#REF!</v>
      </c>
      <c r="D250" s="4">
        <f t="shared" si="60"/>
        <v>0</v>
      </c>
      <c r="E250" s="4" t="e">
        <f t="shared" si="60"/>
        <v>#REF!</v>
      </c>
      <c r="F250" s="4">
        <f t="shared" si="60"/>
        <v>0</v>
      </c>
      <c r="G250" s="4" t="e">
        <f t="shared" si="60"/>
        <v>#REF!</v>
      </c>
      <c r="H250" s="4">
        <f t="shared" si="60"/>
        <v>0</v>
      </c>
      <c r="I250" s="4" t="e">
        <f t="shared" si="60"/>
        <v>#REF!</v>
      </c>
      <c r="J250" s="4">
        <f t="shared" si="60"/>
        <v>0</v>
      </c>
      <c r="K250" s="4" t="e">
        <f t="shared" si="60"/>
        <v>#REF!</v>
      </c>
    </row>
    <row r="251" spans="1:12" x14ac:dyDescent="0.2">
      <c r="A251" s="75">
        <f t="shared" si="60"/>
        <v>0</v>
      </c>
      <c r="B251" s="4">
        <f t="shared" si="60"/>
        <v>0</v>
      </c>
      <c r="C251" s="4" t="e">
        <f t="shared" si="60"/>
        <v>#REF!</v>
      </c>
      <c r="D251" s="4">
        <f t="shared" si="60"/>
        <v>0</v>
      </c>
      <c r="E251" s="4" t="e">
        <f t="shared" si="60"/>
        <v>#REF!</v>
      </c>
      <c r="F251" s="4">
        <f t="shared" si="60"/>
        <v>0</v>
      </c>
      <c r="G251" s="4" t="e">
        <f t="shared" si="60"/>
        <v>#REF!</v>
      </c>
      <c r="H251" s="4">
        <f t="shared" si="60"/>
        <v>0</v>
      </c>
      <c r="I251" s="4" t="e">
        <f t="shared" si="60"/>
        <v>#REF!</v>
      </c>
      <c r="J251" s="4">
        <f t="shared" si="60"/>
        <v>0</v>
      </c>
      <c r="K251" s="4" t="e">
        <f t="shared" si="60"/>
        <v>#REF!</v>
      </c>
    </row>
    <row r="252" spans="1:12" x14ac:dyDescent="0.2">
      <c r="A252" s="75">
        <f t="shared" si="60"/>
        <v>0</v>
      </c>
      <c r="B252" s="4">
        <f t="shared" si="60"/>
        <v>0</v>
      </c>
      <c r="C252" s="4" t="e">
        <f t="shared" si="60"/>
        <v>#REF!</v>
      </c>
      <c r="D252" s="4">
        <f t="shared" si="60"/>
        <v>0</v>
      </c>
      <c r="E252" s="4" t="e">
        <f t="shared" si="60"/>
        <v>#REF!</v>
      </c>
      <c r="F252" s="4">
        <f t="shared" si="60"/>
        <v>0</v>
      </c>
      <c r="G252" s="4" t="e">
        <f t="shared" si="60"/>
        <v>#REF!</v>
      </c>
      <c r="H252" s="4">
        <f t="shared" si="60"/>
        <v>0</v>
      </c>
      <c r="I252" s="4" t="e">
        <f t="shared" si="60"/>
        <v>#REF!</v>
      </c>
      <c r="J252" s="4">
        <f t="shared" si="60"/>
        <v>0</v>
      </c>
      <c r="K252" s="4" t="e">
        <f t="shared" si="60"/>
        <v>#REF!</v>
      </c>
    </row>
    <row r="253" spans="1:12" x14ac:dyDescent="0.2">
      <c r="A253" s="75">
        <f t="shared" si="60"/>
        <v>0</v>
      </c>
      <c r="B253" s="4">
        <f t="shared" si="60"/>
        <v>0</v>
      </c>
      <c r="C253" s="4" t="e">
        <f t="shared" si="60"/>
        <v>#REF!</v>
      </c>
      <c r="D253" s="4">
        <f t="shared" si="60"/>
        <v>0</v>
      </c>
      <c r="E253" s="4" t="e">
        <f t="shared" si="60"/>
        <v>#REF!</v>
      </c>
      <c r="F253" s="4">
        <f t="shared" si="60"/>
        <v>0</v>
      </c>
      <c r="G253" s="4" t="e">
        <f t="shared" si="60"/>
        <v>#REF!</v>
      </c>
      <c r="H253" s="4">
        <f t="shared" si="60"/>
        <v>0</v>
      </c>
      <c r="I253" s="4" t="e">
        <f t="shared" si="60"/>
        <v>#REF!</v>
      </c>
      <c r="J253" s="4">
        <f t="shared" si="60"/>
        <v>0</v>
      </c>
      <c r="K253" s="4" t="e">
        <f t="shared" si="60"/>
        <v>#REF!</v>
      </c>
    </row>
    <row r="254" spans="1:12" x14ac:dyDescent="0.2">
      <c r="A254" s="75">
        <f t="shared" si="60"/>
        <v>0</v>
      </c>
      <c r="B254" s="4">
        <f t="shared" si="60"/>
        <v>0</v>
      </c>
      <c r="C254" s="4" t="e">
        <f t="shared" si="60"/>
        <v>#REF!</v>
      </c>
      <c r="D254" s="4">
        <f t="shared" si="60"/>
        <v>0</v>
      </c>
      <c r="E254" s="4" t="e">
        <f t="shared" si="60"/>
        <v>#REF!</v>
      </c>
      <c r="F254" s="4">
        <f t="shared" si="60"/>
        <v>0</v>
      </c>
      <c r="G254" s="4" t="e">
        <f t="shared" si="60"/>
        <v>#REF!</v>
      </c>
      <c r="H254" s="4">
        <f t="shared" si="60"/>
        <v>0</v>
      </c>
      <c r="I254" s="4" t="e">
        <f t="shared" si="60"/>
        <v>#REF!</v>
      </c>
      <c r="J254" s="4">
        <f t="shared" si="60"/>
        <v>0</v>
      </c>
      <c r="K254" s="4" t="e">
        <f t="shared" si="60"/>
        <v>#REF!</v>
      </c>
    </row>
    <row r="255" spans="1:12" x14ac:dyDescent="0.2">
      <c r="A255" s="75">
        <f t="shared" si="60"/>
        <v>0</v>
      </c>
      <c r="B255" s="4">
        <f t="shared" si="60"/>
        <v>0</v>
      </c>
      <c r="C255" s="4" t="e">
        <f t="shared" si="60"/>
        <v>#REF!</v>
      </c>
      <c r="D255" s="4">
        <f t="shared" si="60"/>
        <v>0</v>
      </c>
      <c r="E255" s="4" t="e">
        <f t="shared" si="60"/>
        <v>#REF!</v>
      </c>
      <c r="F255" s="4">
        <f t="shared" si="60"/>
        <v>0</v>
      </c>
      <c r="G255" s="4" t="e">
        <f t="shared" si="60"/>
        <v>#REF!</v>
      </c>
      <c r="H255" s="4">
        <f t="shared" si="60"/>
        <v>0</v>
      </c>
      <c r="I255" s="4" t="e">
        <f t="shared" si="60"/>
        <v>#REF!</v>
      </c>
      <c r="J255" s="4">
        <f t="shared" si="60"/>
        <v>0</v>
      </c>
      <c r="K255" s="4" t="e">
        <f t="shared" si="60"/>
        <v>#REF!</v>
      </c>
    </row>
    <row r="256" spans="1:12" x14ac:dyDescent="0.2">
      <c r="A256" s="75">
        <f t="shared" si="60"/>
        <v>0</v>
      </c>
      <c r="B256" s="4">
        <f t="shared" si="60"/>
        <v>0</v>
      </c>
      <c r="C256" s="4" t="e">
        <f t="shared" si="60"/>
        <v>#REF!</v>
      </c>
      <c r="D256" s="4">
        <f t="shared" si="60"/>
        <v>0</v>
      </c>
      <c r="E256" s="4" t="e">
        <f t="shared" si="60"/>
        <v>#REF!</v>
      </c>
      <c r="F256" s="4">
        <f t="shared" si="60"/>
        <v>0</v>
      </c>
      <c r="G256" s="4" t="e">
        <f t="shared" si="60"/>
        <v>#REF!</v>
      </c>
      <c r="H256" s="4">
        <f t="shared" si="60"/>
        <v>0</v>
      </c>
      <c r="I256" s="4" t="e">
        <f t="shared" si="60"/>
        <v>#REF!</v>
      </c>
      <c r="J256" s="4">
        <f t="shared" si="60"/>
        <v>0</v>
      </c>
      <c r="K256" s="4" t="e">
        <f t="shared" si="60"/>
        <v>#REF!</v>
      </c>
    </row>
    <row r="257" spans="1:11" x14ac:dyDescent="0.2">
      <c r="A257" s="75">
        <f t="shared" si="60"/>
        <v>0</v>
      </c>
      <c r="B257" s="4">
        <f t="shared" si="60"/>
        <v>0</v>
      </c>
      <c r="C257" s="4" t="e">
        <f t="shared" si="60"/>
        <v>#REF!</v>
      </c>
      <c r="D257" s="4">
        <f t="shared" si="60"/>
        <v>0</v>
      </c>
      <c r="E257" s="4" t="e">
        <f t="shared" si="60"/>
        <v>#REF!</v>
      </c>
      <c r="F257" s="4">
        <f t="shared" si="60"/>
        <v>0</v>
      </c>
      <c r="G257" s="4" t="e">
        <f t="shared" si="60"/>
        <v>#REF!</v>
      </c>
      <c r="H257" s="4">
        <f t="shared" si="60"/>
        <v>0</v>
      </c>
      <c r="I257" s="4" t="e">
        <f t="shared" si="60"/>
        <v>#REF!</v>
      </c>
      <c r="J257" s="4">
        <f t="shared" si="60"/>
        <v>0</v>
      </c>
      <c r="K257" s="4" t="e">
        <f t="shared" si="60"/>
        <v>#REF!</v>
      </c>
    </row>
    <row r="258" spans="1:11" x14ac:dyDescent="0.2">
      <c r="A258" s="75">
        <f t="shared" si="60"/>
        <v>0</v>
      </c>
      <c r="B258" s="4">
        <f t="shared" si="60"/>
        <v>0</v>
      </c>
      <c r="C258" s="4" t="e">
        <f t="shared" si="60"/>
        <v>#REF!</v>
      </c>
      <c r="D258" s="4">
        <f t="shared" si="60"/>
        <v>0</v>
      </c>
      <c r="E258" s="4" t="e">
        <f t="shared" si="60"/>
        <v>#REF!</v>
      </c>
      <c r="F258" s="4">
        <f t="shared" si="60"/>
        <v>0</v>
      </c>
      <c r="G258" s="4" t="e">
        <f t="shared" si="60"/>
        <v>#REF!</v>
      </c>
      <c r="H258" s="4">
        <f t="shared" si="60"/>
        <v>0</v>
      </c>
      <c r="I258" s="4" t="e">
        <f t="shared" si="60"/>
        <v>#REF!</v>
      </c>
      <c r="J258" s="4">
        <f t="shared" si="60"/>
        <v>0</v>
      </c>
      <c r="K258" s="4" t="e">
        <f t="shared" si="60"/>
        <v>#REF!</v>
      </c>
    </row>
    <row r="259" spans="1:11" x14ac:dyDescent="0.2">
      <c r="A259" s="75">
        <f t="shared" si="60"/>
        <v>0</v>
      </c>
      <c r="B259" s="4">
        <f t="shared" si="60"/>
        <v>0</v>
      </c>
      <c r="C259" s="4" t="e">
        <f t="shared" si="60"/>
        <v>#REF!</v>
      </c>
      <c r="D259" s="4">
        <f t="shared" si="60"/>
        <v>0</v>
      </c>
      <c r="E259" s="4" t="e">
        <f t="shared" si="60"/>
        <v>#REF!</v>
      </c>
      <c r="F259" s="4">
        <f t="shared" si="60"/>
        <v>0</v>
      </c>
      <c r="G259" s="4" t="e">
        <f t="shared" si="60"/>
        <v>#REF!</v>
      </c>
      <c r="H259" s="4">
        <f t="shared" si="60"/>
        <v>0</v>
      </c>
      <c r="I259" s="4" t="e">
        <f t="shared" si="60"/>
        <v>#REF!</v>
      </c>
      <c r="J259" s="4">
        <f t="shared" si="60"/>
        <v>0</v>
      </c>
      <c r="K259" s="4" t="e">
        <f t="shared" si="60"/>
        <v>#REF!</v>
      </c>
    </row>
    <row r="260" spans="1:11" x14ac:dyDescent="0.2">
      <c r="A260" s="75">
        <f t="shared" si="60"/>
        <v>0</v>
      </c>
      <c r="B260" s="4">
        <f t="shared" si="60"/>
        <v>0</v>
      </c>
      <c r="C260" s="4" t="e">
        <f t="shared" si="60"/>
        <v>#REF!</v>
      </c>
      <c r="D260" s="4">
        <f t="shared" si="60"/>
        <v>0</v>
      </c>
      <c r="E260" s="4" t="e">
        <f t="shared" si="60"/>
        <v>#REF!</v>
      </c>
      <c r="F260" s="4">
        <f t="shared" si="60"/>
        <v>0</v>
      </c>
      <c r="G260" s="4" t="e">
        <f t="shared" si="60"/>
        <v>#REF!</v>
      </c>
      <c r="H260" s="4">
        <f t="shared" si="60"/>
        <v>0</v>
      </c>
      <c r="I260" s="4" t="e">
        <f t="shared" si="60"/>
        <v>#REF!</v>
      </c>
      <c r="J260" s="4">
        <f t="shared" si="60"/>
        <v>0</v>
      </c>
      <c r="K260" s="4" t="e">
        <f t="shared" si="60"/>
        <v>#REF!</v>
      </c>
    </row>
    <row r="261" spans="1:11" x14ac:dyDescent="0.2">
      <c r="A261" s="75">
        <f t="shared" si="60"/>
        <v>0</v>
      </c>
      <c r="B261" s="4">
        <f t="shared" si="60"/>
        <v>0</v>
      </c>
      <c r="C261" s="4" t="e">
        <f t="shared" si="60"/>
        <v>#REF!</v>
      </c>
      <c r="D261" s="4">
        <f t="shared" si="60"/>
        <v>0</v>
      </c>
      <c r="E261" s="4" t="e">
        <f t="shared" si="60"/>
        <v>#REF!</v>
      </c>
      <c r="F261" s="4">
        <f t="shared" si="60"/>
        <v>0</v>
      </c>
      <c r="G261" s="4" t="e">
        <f t="shared" si="60"/>
        <v>#REF!</v>
      </c>
      <c r="H261" s="4">
        <f t="shared" si="60"/>
        <v>0</v>
      </c>
      <c r="I261" s="4" t="e">
        <f t="shared" si="60"/>
        <v>#REF!</v>
      </c>
      <c r="J261" s="4">
        <f t="shared" si="60"/>
        <v>0</v>
      </c>
      <c r="K261" s="4" t="e">
        <f t="shared" si="60"/>
        <v>#REF!</v>
      </c>
    </row>
    <row r="262" spans="1:11" x14ac:dyDescent="0.2">
      <c r="A262" s="75">
        <f t="shared" si="60"/>
        <v>0</v>
      </c>
      <c r="B262" s="4">
        <f t="shared" si="60"/>
        <v>0</v>
      </c>
      <c r="C262" s="4" t="e">
        <f t="shared" si="60"/>
        <v>#REF!</v>
      </c>
      <c r="D262" s="4">
        <f t="shared" si="60"/>
        <v>0</v>
      </c>
      <c r="E262" s="4" t="e">
        <f t="shared" si="60"/>
        <v>#REF!</v>
      </c>
      <c r="F262" s="4">
        <f t="shared" si="60"/>
        <v>0</v>
      </c>
      <c r="G262" s="4" t="e">
        <f t="shared" si="60"/>
        <v>#REF!</v>
      </c>
      <c r="H262" s="4">
        <f t="shared" si="60"/>
        <v>0</v>
      </c>
      <c r="I262" s="4" t="e">
        <f t="shared" si="60"/>
        <v>#REF!</v>
      </c>
      <c r="J262" s="4">
        <f t="shared" si="60"/>
        <v>0</v>
      </c>
      <c r="K262" s="4" t="e">
        <f t="shared" si="60"/>
        <v>#REF!</v>
      </c>
    </row>
    <row r="263" spans="1:11" x14ac:dyDescent="0.2">
      <c r="A263" s="75">
        <f t="shared" si="60"/>
        <v>0</v>
      </c>
      <c r="B263" s="4">
        <f t="shared" si="60"/>
        <v>0</v>
      </c>
      <c r="C263" s="4" t="e">
        <f t="shared" si="60"/>
        <v>#REF!</v>
      </c>
      <c r="D263" s="4">
        <f t="shared" si="60"/>
        <v>0</v>
      </c>
      <c r="E263" s="4" t="e">
        <f t="shared" si="60"/>
        <v>#REF!</v>
      </c>
      <c r="F263" s="4">
        <f t="shared" si="60"/>
        <v>0</v>
      </c>
      <c r="G263" s="4" t="e">
        <f t="shared" si="60"/>
        <v>#REF!</v>
      </c>
      <c r="H263" s="4">
        <f t="shared" si="60"/>
        <v>0</v>
      </c>
      <c r="I263" s="4" t="e">
        <f t="shared" si="60"/>
        <v>#REF!</v>
      </c>
      <c r="J263" s="4">
        <f t="shared" si="60"/>
        <v>0</v>
      </c>
      <c r="K263" s="4" t="e">
        <f t="shared" si="60"/>
        <v>#REF!</v>
      </c>
    </row>
    <row r="264" spans="1:11" x14ac:dyDescent="0.2">
      <c r="A264" s="75">
        <f t="shared" si="60"/>
        <v>0</v>
      </c>
      <c r="B264" s="4">
        <f t="shared" si="60"/>
        <v>0</v>
      </c>
      <c r="C264" s="4" t="e">
        <f t="shared" si="60"/>
        <v>#REF!</v>
      </c>
      <c r="D264" s="4">
        <f t="shared" si="60"/>
        <v>0</v>
      </c>
      <c r="E264" s="4" t="e">
        <f t="shared" si="60"/>
        <v>#REF!</v>
      </c>
      <c r="F264" s="4">
        <f t="shared" si="60"/>
        <v>0</v>
      </c>
      <c r="G264" s="4" t="e">
        <f t="shared" si="60"/>
        <v>#REF!</v>
      </c>
      <c r="H264" s="4">
        <f t="shared" si="60"/>
        <v>0</v>
      </c>
      <c r="I264" s="4" t="e">
        <f t="shared" si="60"/>
        <v>#REF!</v>
      </c>
      <c r="J264" s="4">
        <f t="shared" si="60"/>
        <v>0</v>
      </c>
      <c r="K264" s="4" t="e">
        <f t="shared" si="60"/>
        <v>#REF!</v>
      </c>
    </row>
    <row r="265" spans="1:11" x14ac:dyDescent="0.2">
      <c r="A265" s="75">
        <f t="shared" ref="A265:K271" si="61">A235</f>
        <v>0</v>
      </c>
      <c r="B265" s="4">
        <f t="shared" si="61"/>
        <v>0</v>
      </c>
      <c r="C265" s="4" t="e">
        <f t="shared" si="61"/>
        <v>#REF!</v>
      </c>
      <c r="D265" s="4">
        <f t="shared" si="61"/>
        <v>0</v>
      </c>
      <c r="E265" s="4" t="e">
        <f t="shared" si="61"/>
        <v>#REF!</v>
      </c>
      <c r="F265" s="4">
        <f t="shared" si="61"/>
        <v>0</v>
      </c>
      <c r="G265" s="4" t="e">
        <f t="shared" si="61"/>
        <v>#REF!</v>
      </c>
      <c r="H265" s="4">
        <f t="shared" si="61"/>
        <v>0</v>
      </c>
      <c r="I265" s="4" t="e">
        <f t="shared" si="61"/>
        <v>#REF!</v>
      </c>
      <c r="J265" s="4">
        <f t="shared" si="61"/>
        <v>0</v>
      </c>
      <c r="K265" s="4" t="e">
        <f t="shared" si="61"/>
        <v>#REF!</v>
      </c>
    </row>
    <row r="266" spans="1:11" x14ac:dyDescent="0.2">
      <c r="A266" s="75">
        <f t="shared" si="61"/>
        <v>0</v>
      </c>
      <c r="B266" s="4">
        <f t="shared" si="61"/>
        <v>0</v>
      </c>
      <c r="C266" s="4" t="e">
        <f t="shared" si="61"/>
        <v>#REF!</v>
      </c>
      <c r="D266" s="4">
        <f t="shared" si="61"/>
        <v>0</v>
      </c>
      <c r="E266" s="4" t="e">
        <f t="shared" si="61"/>
        <v>#REF!</v>
      </c>
      <c r="F266" s="4">
        <f t="shared" si="61"/>
        <v>0</v>
      </c>
      <c r="G266" s="4" t="e">
        <f t="shared" si="61"/>
        <v>#REF!</v>
      </c>
      <c r="H266" s="4">
        <f t="shared" si="61"/>
        <v>0</v>
      </c>
      <c r="I266" s="4" t="e">
        <f t="shared" si="61"/>
        <v>#REF!</v>
      </c>
      <c r="J266" s="4">
        <f t="shared" si="61"/>
        <v>0</v>
      </c>
      <c r="K266" s="4" t="e">
        <f t="shared" si="61"/>
        <v>#REF!</v>
      </c>
    </row>
    <row r="267" spans="1:11" x14ac:dyDescent="0.2">
      <c r="A267" s="75">
        <f t="shared" si="61"/>
        <v>0</v>
      </c>
      <c r="B267" s="4">
        <f t="shared" si="61"/>
        <v>0</v>
      </c>
      <c r="C267" s="4" t="e">
        <f t="shared" si="61"/>
        <v>#REF!</v>
      </c>
      <c r="D267" s="4">
        <f t="shared" si="61"/>
        <v>0</v>
      </c>
      <c r="E267" s="4" t="e">
        <f t="shared" si="61"/>
        <v>#REF!</v>
      </c>
      <c r="F267" s="4">
        <f t="shared" si="61"/>
        <v>0</v>
      </c>
      <c r="G267" s="4" t="e">
        <f t="shared" si="61"/>
        <v>#REF!</v>
      </c>
      <c r="H267" s="4">
        <f t="shared" si="61"/>
        <v>0</v>
      </c>
      <c r="I267" s="4" t="e">
        <f t="shared" si="61"/>
        <v>#REF!</v>
      </c>
      <c r="J267" s="4">
        <f t="shared" si="61"/>
        <v>0</v>
      </c>
      <c r="K267" s="4" t="e">
        <f t="shared" si="61"/>
        <v>#REF!</v>
      </c>
    </row>
    <row r="268" spans="1:11" x14ac:dyDescent="0.2">
      <c r="A268" s="75">
        <f t="shared" si="61"/>
        <v>0</v>
      </c>
      <c r="B268" s="4">
        <f t="shared" si="61"/>
        <v>0</v>
      </c>
      <c r="C268" s="4" t="e">
        <f t="shared" si="61"/>
        <v>#REF!</v>
      </c>
      <c r="D268" s="4">
        <f t="shared" si="61"/>
        <v>0</v>
      </c>
      <c r="E268" s="4" t="e">
        <f t="shared" si="61"/>
        <v>#REF!</v>
      </c>
      <c r="F268" s="4">
        <f t="shared" si="61"/>
        <v>0</v>
      </c>
      <c r="G268" s="4" t="e">
        <f t="shared" si="61"/>
        <v>#REF!</v>
      </c>
      <c r="H268" s="4">
        <f t="shared" si="61"/>
        <v>0</v>
      </c>
      <c r="I268" s="4" t="e">
        <f t="shared" si="61"/>
        <v>#REF!</v>
      </c>
      <c r="J268" s="4">
        <f t="shared" si="61"/>
        <v>0</v>
      </c>
      <c r="K268" s="4" t="e">
        <f t="shared" si="61"/>
        <v>#REF!</v>
      </c>
    </row>
    <row r="269" spans="1:11" x14ac:dyDescent="0.2">
      <c r="A269" s="75">
        <f t="shared" si="61"/>
        <v>0</v>
      </c>
      <c r="B269" s="4">
        <f t="shared" si="61"/>
        <v>0</v>
      </c>
      <c r="C269" s="4" t="e">
        <f t="shared" si="61"/>
        <v>#REF!</v>
      </c>
      <c r="D269" s="4">
        <f t="shared" si="61"/>
        <v>0</v>
      </c>
      <c r="E269" s="4" t="e">
        <f t="shared" si="61"/>
        <v>#REF!</v>
      </c>
      <c r="F269" s="4">
        <f t="shared" si="61"/>
        <v>0</v>
      </c>
      <c r="G269" s="4" t="e">
        <f t="shared" si="61"/>
        <v>#REF!</v>
      </c>
      <c r="H269" s="4">
        <f t="shared" si="61"/>
        <v>0</v>
      </c>
      <c r="I269" s="4" t="e">
        <f t="shared" si="61"/>
        <v>#REF!</v>
      </c>
      <c r="J269" s="4">
        <f t="shared" si="61"/>
        <v>0</v>
      </c>
      <c r="K269" s="4" t="e">
        <f t="shared" si="61"/>
        <v>#REF!</v>
      </c>
    </row>
    <row r="270" spans="1:11" x14ac:dyDescent="0.2">
      <c r="A270" s="75">
        <f t="shared" si="61"/>
        <v>0</v>
      </c>
      <c r="B270" s="4">
        <f t="shared" si="61"/>
        <v>0</v>
      </c>
      <c r="C270" s="4" t="e">
        <f t="shared" si="61"/>
        <v>#REF!</v>
      </c>
      <c r="D270" s="4">
        <f t="shared" si="61"/>
        <v>0</v>
      </c>
      <c r="E270" s="4" t="e">
        <f t="shared" si="61"/>
        <v>#REF!</v>
      </c>
      <c r="F270" s="4">
        <f t="shared" si="61"/>
        <v>0</v>
      </c>
      <c r="G270" s="4" t="e">
        <f t="shared" si="61"/>
        <v>#REF!</v>
      </c>
      <c r="H270" s="4">
        <f t="shared" si="61"/>
        <v>0</v>
      </c>
      <c r="I270" s="4" t="e">
        <f t="shared" si="61"/>
        <v>#REF!</v>
      </c>
      <c r="J270" s="4">
        <f t="shared" si="61"/>
        <v>0</v>
      </c>
      <c r="K270" s="4" t="e">
        <f t="shared" si="61"/>
        <v>#REF!</v>
      </c>
    </row>
    <row r="271" spans="1:11" x14ac:dyDescent="0.2">
      <c r="A271" s="79">
        <f t="shared" si="61"/>
        <v>0</v>
      </c>
      <c r="B271" s="4">
        <f t="shared" si="61"/>
        <v>0</v>
      </c>
      <c r="C271" s="4" t="e">
        <f t="shared" si="61"/>
        <v>#REF!</v>
      </c>
      <c r="D271" s="4">
        <f t="shared" si="61"/>
        <v>0</v>
      </c>
      <c r="E271" s="4" t="e">
        <f t="shared" si="61"/>
        <v>#REF!</v>
      </c>
      <c r="F271" s="4">
        <f t="shared" si="61"/>
        <v>0</v>
      </c>
      <c r="G271" s="4" t="e">
        <f t="shared" si="61"/>
        <v>#REF!</v>
      </c>
      <c r="H271" s="4">
        <f t="shared" si="61"/>
        <v>0</v>
      </c>
      <c r="I271" s="4" t="e">
        <f t="shared" si="61"/>
        <v>#REF!</v>
      </c>
      <c r="J271" s="4">
        <f t="shared" si="61"/>
        <v>0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>
        <f>A248</f>
        <v>0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>
        <f>IF(F$247=G$247,F$247*100,IF(G248=0,F$247*100&amp;"/0",IF(F248=0,"0/"&amp;G$247*100,F$247*100&amp;"/"&amp;G$247*100)))</f>
        <v>0</v>
      </c>
      <c r="G275" s="306"/>
      <c r="H275" s="305">
        <f>IF(H$247=I$247,H$247*100,IF(I248=0,H$247*100&amp;"/0",IF(H248=0,"0/"&amp;I$247*100,H$247*100&amp;"/"&amp;I$247*100)))</f>
        <v>0</v>
      </c>
      <c r="I275" s="306"/>
      <c r="J275" s="303">
        <f>IF($G$5="","",IF(J$247=K$247,J$247*100,IF(K248=0,J$247*100&amp;"/0",IF(J248=0,"0/"&amp;K$247*100,J$247*100&amp;"/"&amp;K$247*100))))</f>
        <v>0</v>
      </c>
      <c r="K275" s="304"/>
    </row>
    <row r="276" spans="1:11" x14ac:dyDescent="0.2">
      <c r="A276" s="82">
        <f t="shared" ref="A276:A298" si="62">A249</f>
        <v>0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>
        <f t="shared" ref="F276:F298" si="64">IF(F$247=G$247,F$247*100,IF(G249=0,F$247*100&amp;"/0",IF(F249=0,"0/"&amp;G$247*100,F$247*100&amp;"/"&amp;G$247*100)))</f>
        <v>0</v>
      </c>
      <c r="G276" s="306"/>
      <c r="H276" s="305">
        <f t="shared" ref="H276:H298" si="65">IF(H$247=I$247,H$247*100,IF(I249=0,H$247*100&amp;"/0",IF(H249=0,"0/"&amp;I$247*100,H$247*100&amp;"/"&amp;I$247*100)))</f>
        <v>0</v>
      </c>
      <c r="I276" s="306"/>
      <c r="J276" s="303">
        <f t="shared" ref="J276:J298" si="66">IF($G$5="","",IF(J$247=K$247,J$247*100,IF(K249=0,J$247*100&amp;"/0",IF(J249=0,"0/"&amp;K$247*100,J$247*100&amp;"/"&amp;K$247*100))))</f>
        <v>0</v>
      </c>
      <c r="K276" s="304"/>
    </row>
    <row r="277" spans="1:11" x14ac:dyDescent="0.2">
      <c r="A277" s="82">
        <f t="shared" si="62"/>
        <v>0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>
        <f t="shared" si="64"/>
        <v>0</v>
      </c>
      <c r="G277" s="306"/>
      <c r="H277" s="305">
        <f t="shared" si="65"/>
        <v>0</v>
      </c>
      <c r="I277" s="306"/>
      <c r="J277" s="303">
        <f t="shared" si="66"/>
        <v>0</v>
      </c>
      <c r="K277" s="304"/>
    </row>
    <row r="278" spans="1:11" x14ac:dyDescent="0.2">
      <c r="A278" s="82">
        <f t="shared" si="62"/>
        <v>0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>
        <f t="shared" si="64"/>
        <v>0</v>
      </c>
      <c r="G278" s="306"/>
      <c r="H278" s="305">
        <f t="shared" si="65"/>
        <v>0</v>
      </c>
      <c r="I278" s="306"/>
      <c r="J278" s="303">
        <f t="shared" si="66"/>
        <v>0</v>
      </c>
      <c r="K278" s="304"/>
    </row>
    <row r="279" spans="1:11" x14ac:dyDescent="0.2">
      <c r="A279" s="82">
        <f t="shared" si="62"/>
        <v>0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>
        <f t="shared" si="64"/>
        <v>0</v>
      </c>
      <c r="G279" s="306"/>
      <c r="H279" s="305">
        <f t="shared" si="65"/>
        <v>0</v>
      </c>
      <c r="I279" s="306"/>
      <c r="J279" s="303">
        <f t="shared" si="66"/>
        <v>0</v>
      </c>
      <c r="K279" s="304"/>
    </row>
    <row r="280" spans="1:11" x14ac:dyDescent="0.2">
      <c r="A280" s="82">
        <f t="shared" si="62"/>
        <v>0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>
        <f t="shared" si="64"/>
        <v>0</v>
      </c>
      <c r="G280" s="306"/>
      <c r="H280" s="305">
        <f t="shared" si="65"/>
        <v>0</v>
      </c>
      <c r="I280" s="306"/>
      <c r="J280" s="303">
        <f t="shared" si="66"/>
        <v>0</v>
      </c>
      <c r="K280" s="304"/>
    </row>
    <row r="281" spans="1:11" x14ac:dyDescent="0.2">
      <c r="A281" s="82">
        <f t="shared" si="62"/>
        <v>0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>
        <f t="shared" si="64"/>
        <v>0</v>
      </c>
      <c r="G281" s="306"/>
      <c r="H281" s="305">
        <f t="shared" si="65"/>
        <v>0</v>
      </c>
      <c r="I281" s="306"/>
      <c r="J281" s="303">
        <f t="shared" si="66"/>
        <v>0</v>
      </c>
      <c r="K281" s="304"/>
    </row>
    <row r="282" spans="1:11" x14ac:dyDescent="0.2">
      <c r="A282" s="82">
        <f t="shared" si="62"/>
        <v>0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>
        <f t="shared" si="64"/>
        <v>0</v>
      </c>
      <c r="G282" s="306"/>
      <c r="H282" s="305">
        <f t="shared" si="65"/>
        <v>0</v>
      </c>
      <c r="I282" s="306"/>
      <c r="J282" s="303">
        <f t="shared" si="66"/>
        <v>0</v>
      </c>
      <c r="K282" s="304"/>
    </row>
    <row r="283" spans="1:11" x14ac:dyDescent="0.2">
      <c r="A283" s="82">
        <f t="shared" si="62"/>
        <v>0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>
        <f t="shared" si="64"/>
        <v>0</v>
      </c>
      <c r="G283" s="306"/>
      <c r="H283" s="305">
        <f t="shared" si="65"/>
        <v>0</v>
      </c>
      <c r="I283" s="306"/>
      <c r="J283" s="303">
        <f t="shared" si="66"/>
        <v>0</v>
      </c>
      <c r="K283" s="304"/>
    </row>
    <row r="284" spans="1:11" x14ac:dyDescent="0.2">
      <c r="A284" s="82">
        <f t="shared" si="62"/>
        <v>0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>
        <f t="shared" si="64"/>
        <v>0</v>
      </c>
      <c r="G284" s="306"/>
      <c r="H284" s="305">
        <f t="shared" si="65"/>
        <v>0</v>
      </c>
      <c r="I284" s="306"/>
      <c r="J284" s="303">
        <f t="shared" si="66"/>
        <v>0</v>
      </c>
      <c r="K284" s="304"/>
    </row>
    <row r="285" spans="1:11" x14ac:dyDescent="0.2">
      <c r="A285" s="82">
        <f t="shared" si="62"/>
        <v>0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>
        <f t="shared" si="64"/>
        <v>0</v>
      </c>
      <c r="G285" s="306"/>
      <c r="H285" s="305">
        <f t="shared" si="65"/>
        <v>0</v>
      </c>
      <c r="I285" s="306"/>
      <c r="J285" s="303">
        <f t="shared" si="66"/>
        <v>0</v>
      </c>
      <c r="K285" s="304"/>
    </row>
    <row r="286" spans="1:11" x14ac:dyDescent="0.2">
      <c r="A286" s="82">
        <f t="shared" si="62"/>
        <v>0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>
        <f t="shared" si="64"/>
        <v>0</v>
      </c>
      <c r="G286" s="306"/>
      <c r="H286" s="305">
        <f t="shared" si="65"/>
        <v>0</v>
      </c>
      <c r="I286" s="306"/>
      <c r="J286" s="303">
        <f t="shared" si="66"/>
        <v>0</v>
      </c>
      <c r="K286" s="304"/>
    </row>
    <row r="287" spans="1:11" x14ac:dyDescent="0.2">
      <c r="A287" s="82">
        <f t="shared" si="62"/>
        <v>0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>
        <f t="shared" si="64"/>
        <v>0</v>
      </c>
      <c r="G287" s="306"/>
      <c r="H287" s="305">
        <f t="shared" si="65"/>
        <v>0</v>
      </c>
      <c r="I287" s="306"/>
      <c r="J287" s="303">
        <f t="shared" si="66"/>
        <v>0</v>
      </c>
      <c r="K287" s="304"/>
    </row>
    <row r="288" spans="1:11" x14ac:dyDescent="0.2">
      <c r="A288" s="82">
        <f t="shared" si="62"/>
        <v>0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>
        <f t="shared" si="64"/>
        <v>0</v>
      </c>
      <c r="G288" s="306"/>
      <c r="H288" s="305">
        <f t="shared" si="65"/>
        <v>0</v>
      </c>
      <c r="I288" s="306"/>
      <c r="J288" s="303">
        <f t="shared" si="66"/>
        <v>0</v>
      </c>
      <c r="K288" s="304"/>
    </row>
    <row r="289" spans="1:11" x14ac:dyDescent="0.2">
      <c r="A289" s="82">
        <f t="shared" si="62"/>
        <v>0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>
        <f t="shared" si="64"/>
        <v>0</v>
      </c>
      <c r="G289" s="306"/>
      <c r="H289" s="305">
        <f t="shared" si="65"/>
        <v>0</v>
      </c>
      <c r="I289" s="306"/>
      <c r="J289" s="303">
        <f t="shared" si="66"/>
        <v>0</v>
      </c>
      <c r="K289" s="304"/>
    </row>
    <row r="290" spans="1:11" x14ac:dyDescent="0.2">
      <c r="A290" s="82">
        <f t="shared" si="62"/>
        <v>0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>
        <f t="shared" si="64"/>
        <v>0</v>
      </c>
      <c r="G290" s="306"/>
      <c r="H290" s="305">
        <f t="shared" si="65"/>
        <v>0</v>
      </c>
      <c r="I290" s="306"/>
      <c r="J290" s="303">
        <f t="shared" si="66"/>
        <v>0</v>
      </c>
      <c r="K290" s="304"/>
    </row>
    <row r="291" spans="1:11" x14ac:dyDescent="0.2">
      <c r="A291" s="82">
        <f t="shared" si="62"/>
        <v>0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>
        <f t="shared" si="64"/>
        <v>0</v>
      </c>
      <c r="G291" s="306"/>
      <c r="H291" s="305">
        <f t="shared" si="65"/>
        <v>0</v>
      </c>
      <c r="I291" s="306"/>
      <c r="J291" s="303">
        <f t="shared" si="66"/>
        <v>0</v>
      </c>
      <c r="K291" s="304"/>
    </row>
    <row r="292" spans="1:11" x14ac:dyDescent="0.2">
      <c r="A292" s="82">
        <f t="shared" si="62"/>
        <v>0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>
        <f t="shared" si="64"/>
        <v>0</v>
      </c>
      <c r="G292" s="306"/>
      <c r="H292" s="305">
        <f t="shared" si="65"/>
        <v>0</v>
      </c>
      <c r="I292" s="306"/>
      <c r="J292" s="303">
        <f t="shared" si="66"/>
        <v>0</v>
      </c>
      <c r="K292" s="304"/>
    </row>
    <row r="293" spans="1:11" x14ac:dyDescent="0.2">
      <c r="A293" s="82">
        <f t="shared" si="62"/>
        <v>0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>
        <f t="shared" si="64"/>
        <v>0</v>
      </c>
      <c r="G293" s="306"/>
      <c r="H293" s="305">
        <f t="shared" si="65"/>
        <v>0</v>
      </c>
      <c r="I293" s="306"/>
      <c r="J293" s="303">
        <f t="shared" si="66"/>
        <v>0</v>
      </c>
      <c r="K293" s="304"/>
    </row>
    <row r="294" spans="1:11" x14ac:dyDescent="0.2">
      <c r="A294" s="82">
        <f t="shared" si="62"/>
        <v>0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>
        <f t="shared" si="64"/>
        <v>0</v>
      </c>
      <c r="G294" s="306"/>
      <c r="H294" s="305">
        <f t="shared" si="65"/>
        <v>0</v>
      </c>
      <c r="I294" s="306"/>
      <c r="J294" s="303">
        <f t="shared" si="66"/>
        <v>0</v>
      </c>
      <c r="K294" s="304"/>
    </row>
    <row r="295" spans="1:11" x14ac:dyDescent="0.2">
      <c r="A295" s="82">
        <f t="shared" si="62"/>
        <v>0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>
        <f t="shared" si="64"/>
        <v>0</v>
      </c>
      <c r="G295" s="306"/>
      <c r="H295" s="305">
        <f t="shared" si="65"/>
        <v>0</v>
      </c>
      <c r="I295" s="306"/>
      <c r="J295" s="303">
        <f t="shared" si="66"/>
        <v>0</v>
      </c>
      <c r="K295" s="304"/>
    </row>
    <row r="296" spans="1:11" x14ac:dyDescent="0.2">
      <c r="A296" s="82">
        <f t="shared" si="62"/>
        <v>0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>
        <f t="shared" si="64"/>
        <v>0</v>
      </c>
      <c r="G296" s="306"/>
      <c r="H296" s="305">
        <f t="shared" si="65"/>
        <v>0</v>
      </c>
      <c r="I296" s="306"/>
      <c r="J296" s="303">
        <f t="shared" si="66"/>
        <v>0</v>
      </c>
      <c r="K296" s="304"/>
    </row>
    <row r="297" spans="1:11" x14ac:dyDescent="0.2">
      <c r="A297" s="82">
        <f t="shared" si="62"/>
        <v>0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>
        <f t="shared" si="64"/>
        <v>0</v>
      </c>
      <c r="G297" s="306"/>
      <c r="H297" s="305">
        <f t="shared" si="65"/>
        <v>0</v>
      </c>
      <c r="I297" s="306"/>
      <c r="J297" s="303">
        <f t="shared" si="66"/>
        <v>0</v>
      </c>
      <c r="K297" s="304"/>
    </row>
    <row r="298" spans="1:11" x14ac:dyDescent="0.2">
      <c r="A298" s="82">
        <f t="shared" si="62"/>
        <v>0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>
        <f t="shared" si="64"/>
        <v>0</v>
      </c>
      <c r="G298" s="306"/>
      <c r="H298" s="305">
        <f t="shared" si="65"/>
        <v>0</v>
      </c>
      <c r="I298" s="306"/>
      <c r="J298" s="303">
        <f t="shared" si="66"/>
        <v>0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>
        <f>A275</f>
        <v>0</v>
      </c>
      <c r="B301" s="302" t="e">
        <f>ROUND('Subcontract 1'!N8/'W2'!H177*'W2'!B248*'W2'!$B$247+'Subcontract 1'!N8/'W2'!H177*'W2'!C248*'W2'!C247,0)</f>
        <v>#REF!</v>
      </c>
      <c r="C301" s="300"/>
      <c r="D301" s="302" t="e">
        <f>ROUND('Subcontract 1'!O8/(D248+E248)*'W2'!D248*'W2'!D$247+'Subcontract 1'!O8/(D248+E248)*'W2'!E248*'W2'!E$247,0)</f>
        <v>#REF!</v>
      </c>
      <c r="E301" s="300"/>
      <c r="F301" s="302" t="e">
        <f>ROUND('Subcontract 1'!P8/(F248+G248)*'W2'!F248*'W2'!F$247+'Subcontract 1'!P8/(F248+G248)*'W2'!G248*'W2'!G$247,0)</f>
        <v>#REF!</v>
      </c>
      <c r="G301" s="300"/>
      <c r="H301" s="302" t="e">
        <f>ROUND('Subcontract 1'!Q8/(H248+I248)*'W2'!H248*'W2'!H$247+'Subcontract 1'!Q8/(H248+I248)*'W2'!I248*'W2'!I$247,0)</f>
        <v>#REF!</v>
      </c>
      <c r="I301" s="300"/>
      <c r="J301" s="302" t="str">
        <f>IF(J275=0,"",ROUND('Subcontract 1'!R8/(J248+K248)*'W2'!J248*'W2'!J$247+'Subcontract 1'!R8/(J248+K248)*'W2'!K248*'W2'!K$247,0))</f>
        <v/>
      </c>
      <c r="K301" s="300"/>
    </row>
    <row r="302" spans="1:11" x14ac:dyDescent="0.2">
      <c r="A302" s="82">
        <f t="shared" ref="A302:A324" si="68">A276</f>
        <v>0</v>
      </c>
      <c r="B302" s="302" t="e">
        <f>ROUND('Subcontract 1'!N9/'W2'!H178*'W2'!B249*'W2'!$B$247+'Subcontract 1'!N9/'W2'!H178*'W2'!C249*'W2'!$C$247,0)</f>
        <v>#REF!</v>
      </c>
      <c r="C302" s="300"/>
      <c r="D302" s="302" t="e">
        <f>ROUND('Subcontract 1'!O9/(D249+E249)*'W2'!D249*'W2'!D$247+'Subcontract 1'!O9/(D249+E249)*'W2'!E249*'W2'!E$247,0)</f>
        <v>#REF!</v>
      </c>
      <c r="E302" s="300"/>
      <c r="F302" s="302" t="e">
        <f>ROUND('Subcontract 1'!P9/(F249+G249)*'W2'!F249*'W2'!F$247+'Subcontract 1'!P9/(F249+G249)*'W2'!G249*'W2'!G$247,0)</f>
        <v>#REF!</v>
      </c>
      <c r="G302" s="300"/>
      <c r="H302" s="302" t="e">
        <f>ROUND('Subcontract 1'!Q9/(H249+I249)*'W2'!H249*'W2'!H$247+'Subcontract 1'!Q9/(H249+I249)*'W2'!I249*'W2'!I$247,0)</f>
        <v>#REF!</v>
      </c>
      <c r="I302" s="300"/>
      <c r="J302" s="302" t="str">
        <f>IF(J276=0,"",ROUND('Subcontract 1'!R9/(J249+K249)*'W2'!J249*'W2'!J$247+'Subcontract 1'!R9/(J249+K249)*'W2'!K249*'W2'!K$247,0))</f>
        <v/>
      </c>
      <c r="K302" s="300"/>
    </row>
    <row r="303" spans="1:11" x14ac:dyDescent="0.2">
      <c r="A303" s="82">
        <f t="shared" si="68"/>
        <v>0</v>
      </c>
      <c r="B303" s="302" t="e">
        <f>ROUND('Subcontract 1'!N10/'W2'!H179*'W2'!B250*'W2'!$B$247+'Subcontract 1'!N10/'W2'!H179*'W2'!C250*'W2'!$C$247,0)</f>
        <v>#REF!</v>
      </c>
      <c r="C303" s="300"/>
      <c r="D303" s="302" t="e">
        <f>ROUND('Subcontract 1'!O10/(D250+E250)*'W2'!D250*'W2'!D$247+'Subcontract 1'!O10/(D250+E250)*'W2'!E250*'W2'!E$247,0)</f>
        <v>#REF!</v>
      </c>
      <c r="E303" s="300"/>
      <c r="F303" s="302" t="e">
        <f>ROUND('Subcontract 1'!P10/(F250+G250)*'W2'!F250*'W2'!F$247+'Subcontract 1'!P10/(F250+G250)*'W2'!G250*'W2'!G$247,0)</f>
        <v>#REF!</v>
      </c>
      <c r="G303" s="300"/>
      <c r="H303" s="302" t="e">
        <f>ROUND('Subcontract 1'!Q10/(H250+I250)*'W2'!H250*'W2'!H$247+'Subcontract 1'!Q10/(H250+I250)*'W2'!I250*'W2'!I$247,0)</f>
        <v>#REF!</v>
      </c>
      <c r="I303" s="300"/>
      <c r="J303" s="302" t="str">
        <f>IF(J277=0,"",ROUND('Subcontract 1'!R10/(J250+K250)*'W2'!J250*'W2'!J$247+'Subcontract 1'!R10/(J250+K250)*'W2'!K250*'W2'!K$247,0))</f>
        <v/>
      </c>
      <c r="K303" s="300"/>
    </row>
    <row r="304" spans="1:11" x14ac:dyDescent="0.2">
      <c r="A304" s="82">
        <f t="shared" si="68"/>
        <v>0</v>
      </c>
      <c r="B304" s="302" t="e">
        <f>ROUND('Subcontract 1'!N11/'W2'!H180*'W2'!B251*'W2'!$B$247+'Subcontract 1'!N11/'W2'!H180*'W2'!C251*'W2'!$C$247,0)</f>
        <v>#REF!</v>
      </c>
      <c r="C304" s="300"/>
      <c r="D304" s="302" t="e">
        <f>ROUND('Subcontract 1'!O11/(D251+E251)*'W2'!D251*'W2'!D$247+'Subcontract 1'!O11/(D251+E251)*'W2'!E251*'W2'!E$247,0)</f>
        <v>#REF!</v>
      </c>
      <c r="E304" s="300"/>
      <c r="F304" s="302" t="e">
        <f>ROUND('Subcontract 1'!P11/(F251+G251)*'W2'!F251*'W2'!F$247+'Subcontract 1'!P11/(F251+G251)*'W2'!G251*'W2'!G$247,0)</f>
        <v>#REF!</v>
      </c>
      <c r="G304" s="300"/>
      <c r="H304" s="302" t="e">
        <f>ROUND('Subcontract 1'!Q11/(H251+I251)*'W2'!H251*'W2'!H$247+'Subcontract 1'!Q11/(H251+I251)*'W2'!I251*'W2'!I$247,0)</f>
        <v>#REF!</v>
      </c>
      <c r="I304" s="300"/>
      <c r="J304" s="302" t="str">
        <f>IF(J278=0,"",ROUND('Subcontract 1'!R11/(J251+K251)*'W2'!J251*'W2'!J$247+'Subcontract 1'!R11/(J251+K251)*'W2'!K251*'W2'!K$247,0))</f>
        <v/>
      </c>
      <c r="K304" s="300"/>
    </row>
    <row r="305" spans="1:12" x14ac:dyDescent="0.2">
      <c r="A305" s="82">
        <f t="shared" si="68"/>
        <v>0</v>
      </c>
      <c r="B305" s="302" t="e">
        <f>IF((B252+C252)&lt;&gt;0,ROUND('Subcontract 1'!N12/'W2'!H181*'W2'!B252*'W2'!$B$247+'Subcontract 1'!N12/'W2'!H181*'W2'!C252*'W2'!$C$247,0),0)</f>
        <v>#REF!</v>
      </c>
      <c r="C305" s="300"/>
      <c r="D305" s="302" t="e">
        <f>ROUND('Subcontract 1'!O12/(D252+E252)*'W2'!D252*'W2'!D$247+'Subcontract 1'!O12/(D252+E252)*'W2'!E252*'W2'!E$247,0)</f>
        <v>#REF!</v>
      </c>
      <c r="E305" s="300"/>
      <c r="F305" s="302" t="e">
        <f>ROUND('Subcontract 1'!P12/(F252+G252)*'W2'!F252*'W2'!F$247+'Subcontract 1'!P12/(F252+G252)*'W2'!G252*'W2'!G$247,0)</f>
        <v>#REF!</v>
      </c>
      <c r="G305" s="300"/>
      <c r="H305" s="302" t="e">
        <f>ROUND('Subcontract 1'!Q12/(H252+I252)*'W2'!H252*'W2'!H$247+'Subcontract 1'!Q12/(H252+I252)*'W2'!I252*'W2'!I$247,0)</f>
        <v>#REF!</v>
      </c>
      <c r="I305" s="300"/>
      <c r="J305" s="302" t="str">
        <f>IF(J279=0,"",ROUND('Subcontract 1'!R12/(J252+K252)*'W2'!J252*'W2'!J$247+'Subcontract 1'!R12/(J252+K252)*'W2'!K252*'W2'!K$247,0))</f>
        <v/>
      </c>
      <c r="K305" s="300"/>
      <c r="L305" s="17"/>
    </row>
    <row r="306" spans="1:12" x14ac:dyDescent="0.2">
      <c r="A306" s="82">
        <f t="shared" si="68"/>
        <v>0</v>
      </c>
      <c r="B306" s="302" t="e">
        <f>IF((B253+C253)&lt;&gt;0,ROUND('Subcontract 1'!N13/'W2'!H182*'W2'!B253*'W2'!$B$247+'Subcontract 1'!N13/'W2'!H182*'W2'!C253*'W2'!$C$247,0),0)</f>
        <v>#REF!</v>
      </c>
      <c r="C306" s="300"/>
      <c r="D306" s="302" t="e">
        <f>ROUND('Subcontract 1'!O13/(D253+E253)*'W2'!D253*'W2'!D$247+'Subcontract 1'!O13/(D253+E253)*'W2'!E253*'W2'!E$247,0)</f>
        <v>#REF!</v>
      </c>
      <c r="E306" s="300"/>
      <c r="F306" s="302" t="e">
        <f>ROUND('Subcontract 1'!P13/(F253+G253)*'W2'!F253*'W2'!F$247+'Subcontract 1'!P13/(F253+G253)*'W2'!G253*'W2'!G$247,0)</f>
        <v>#REF!</v>
      </c>
      <c r="G306" s="300"/>
      <c r="H306" s="302" t="e">
        <f>ROUND('Subcontract 1'!Q13/(H253+I253)*'W2'!H253*'W2'!H$247+'Subcontract 1'!Q13/(H253+I253)*'W2'!I253*'W2'!I$247,0)</f>
        <v>#REF!</v>
      </c>
      <c r="I306" s="300"/>
      <c r="J306" s="302" t="str">
        <f>IF(J280=0,"",ROUND('Subcontract 1'!R13/(J253+K253)*'W2'!J253*'W2'!J$247+'Subcontract 1'!R13/(J253+K253)*'W2'!K253*'W2'!K$247,0))</f>
        <v/>
      </c>
      <c r="K306" s="300"/>
    </row>
    <row r="307" spans="1:12" x14ac:dyDescent="0.2">
      <c r="A307" s="82">
        <f t="shared" si="68"/>
        <v>0</v>
      </c>
      <c r="B307" s="302" t="e">
        <f>IF((B254+C254)&lt;&gt;0,ROUND('Subcontract 1'!N14/'W2'!H183*'W2'!B254*'W2'!$B$247+'Subcontract 1'!N14/'W2'!H183*'W2'!C254*'W2'!$C$247,0),0)</f>
        <v>#REF!</v>
      </c>
      <c r="C307" s="300"/>
      <c r="D307" s="302" t="e">
        <f>ROUND('Subcontract 1'!O14/(D254+E254)*'W2'!D254*'W2'!D$247+'Subcontract 1'!O14/(D254+E254)*'W2'!E254*'W2'!E$247,0)</f>
        <v>#REF!</v>
      </c>
      <c r="E307" s="300"/>
      <c r="F307" s="302" t="e">
        <f>ROUND('Subcontract 1'!P14/(F254+G254)*'W2'!F254*'W2'!F$247+'Subcontract 1'!P14/(F254+G254)*'W2'!G254*'W2'!G$247,0)</f>
        <v>#REF!</v>
      </c>
      <c r="G307" s="300"/>
      <c r="H307" s="302" t="e">
        <f>ROUND('Subcontract 1'!Q14/(H254+I254)*'W2'!H254*'W2'!H$247+'Subcontract 1'!Q14/(H254+I254)*'W2'!I254*'W2'!I$247,0)</f>
        <v>#REF!</v>
      </c>
      <c r="I307" s="300"/>
      <c r="J307" s="302" t="str">
        <f>IF(J281=0,"",ROUND('Subcontract 1'!R14/(J254+K254)*'W2'!J254*'W2'!J$247+'Subcontract 1'!R14/(J254+K254)*'W2'!K254*'W2'!K$247,0))</f>
        <v/>
      </c>
      <c r="K307" s="300"/>
    </row>
    <row r="308" spans="1:12" x14ac:dyDescent="0.2">
      <c r="A308" s="82">
        <f t="shared" si="68"/>
        <v>0</v>
      </c>
      <c r="B308" s="302" t="e">
        <f>IF((B255+C255)&lt;&gt;0,ROUND('Subcontract 1'!N15/'W2'!H184*'W2'!B255*'W2'!$B$247+'Subcontract 1'!N15/'W2'!H184*'W2'!C255*'W2'!$C$247,0),0)</f>
        <v>#REF!</v>
      </c>
      <c r="C308" s="300"/>
      <c r="D308" s="302" t="e">
        <f>ROUND('Subcontract 1'!O15/(D255+E255)*'W2'!D255*'W2'!D$247+'Subcontract 1'!O15/(D255+E255)*'W2'!E255*'W2'!E$247,0)</f>
        <v>#REF!</v>
      </c>
      <c r="E308" s="300"/>
      <c r="F308" s="302" t="e">
        <f>ROUND('Subcontract 1'!P15/(F255+G255)*'W2'!F255*'W2'!F$247+'Subcontract 1'!P15/(F255+G255)*'W2'!G255*'W2'!G$247,0)</f>
        <v>#REF!</v>
      </c>
      <c r="G308" s="300"/>
      <c r="H308" s="302" t="e">
        <f>ROUND('Subcontract 1'!Q15/(H255+I255)*'W2'!H255*'W2'!H$247+'Subcontract 1'!Q15/(H255+I255)*'W2'!I255*'W2'!I$247,0)</f>
        <v>#REF!</v>
      </c>
      <c r="I308" s="300"/>
      <c r="J308" s="302" t="str">
        <f>IF(J282=0,"",ROUND('Subcontract 1'!R15/(J255+K255)*'W2'!J255*'W2'!J$247+'Subcontract 1'!R15/(J255+K255)*'W2'!K255*'W2'!K$247,0))</f>
        <v/>
      </c>
      <c r="K308" s="300"/>
    </row>
    <row r="309" spans="1:12" x14ac:dyDescent="0.2">
      <c r="A309" s="82">
        <f t="shared" si="68"/>
        <v>0</v>
      </c>
      <c r="B309" s="302" t="e">
        <f>IF((B256+C256)&lt;&gt;0,ROUND('Subcontract 1'!N16/'W2'!H185*'W2'!B256*'W2'!$B$247+'Subcontract 1'!N16/'W2'!H185*'W2'!C256*'W2'!$C$247,0),0)</f>
        <v>#REF!</v>
      </c>
      <c r="C309" s="300"/>
      <c r="D309" s="302" t="e">
        <f>ROUND('Subcontract 1'!O16/(D256+E256)*'W2'!D256*'W2'!D$247+'Subcontract 1'!O16/(D256+E256)*'W2'!E256*'W2'!E$247,0)</f>
        <v>#REF!</v>
      </c>
      <c r="E309" s="300"/>
      <c r="F309" s="302" t="e">
        <f>ROUND('Subcontract 1'!P16/(F256+G256)*'W2'!F256*'W2'!F$247+'Subcontract 1'!P16/(F256+G256)*'W2'!G256*'W2'!G$247,0)</f>
        <v>#REF!</v>
      </c>
      <c r="G309" s="300"/>
      <c r="H309" s="302" t="e">
        <f>ROUND('Subcontract 1'!Q16/(H256+I256)*'W2'!H256*'W2'!H$247+'Subcontract 1'!Q16/(H256+I256)*'W2'!I256*'W2'!I$247,0)</f>
        <v>#REF!</v>
      </c>
      <c r="I309" s="300"/>
      <c r="J309" s="302" t="str">
        <f>IF(J283=0,"",ROUND('Subcontract 1'!R16/(J256+K256)*'W2'!J256*'W2'!J$247+'Subcontract 1'!R16/(J256+K256)*'W2'!K256*'W2'!K$247,0))</f>
        <v/>
      </c>
      <c r="K309" s="300"/>
    </row>
    <row r="310" spans="1:12" x14ac:dyDescent="0.2">
      <c r="A310" s="82">
        <f t="shared" si="68"/>
        <v>0</v>
      </c>
      <c r="B310" s="302" t="e">
        <f>IF((B257+C257)&lt;&gt;0,ROUND('Subcontract 1'!N17/'W2'!H186*'W2'!B257*'W2'!$B$247+'Subcontract 1'!N17/'W2'!H186*'W2'!C257*'W2'!$C$247,0),0)</f>
        <v>#REF!</v>
      </c>
      <c r="C310" s="300"/>
      <c r="D310" s="302" t="e">
        <f>ROUND('Subcontract 1'!O17/(D257+E257)*'W2'!D257*'W2'!D$247+'Subcontract 1'!O17/(D257+E257)*'W2'!E257*'W2'!E$247,0)</f>
        <v>#REF!</v>
      </c>
      <c r="E310" s="300"/>
      <c r="F310" s="302" t="e">
        <f>ROUND('Subcontract 1'!P17/(F257+G257)*'W2'!F257*'W2'!F$247+'Subcontract 1'!P17/(F257+G257)*'W2'!G257*'W2'!G$247,0)</f>
        <v>#REF!</v>
      </c>
      <c r="G310" s="300"/>
      <c r="H310" s="302" t="e">
        <f>ROUND('Subcontract 1'!Q17/(H257+I257)*'W2'!H257*'W2'!H$247+'Subcontract 1'!Q17/(H257+I257)*'W2'!I257*'W2'!I$247,0)</f>
        <v>#REF!</v>
      </c>
      <c r="I310" s="300"/>
      <c r="J310" s="302" t="str">
        <f>IF(J284=0,"",ROUND('Subcontract 1'!R17/(J257+K257)*'W2'!J257*'W2'!J$247+'Subcontract 1'!R17/(J257+K257)*'W2'!K257*'W2'!K$247,0))</f>
        <v/>
      </c>
      <c r="K310" s="300"/>
    </row>
    <row r="311" spans="1:12" x14ac:dyDescent="0.2">
      <c r="A311" s="82">
        <f t="shared" si="68"/>
        <v>0</v>
      </c>
      <c r="B311" s="302" t="e">
        <f>IF((B258+C258)&lt;&gt;0,ROUND('Subcontract 1'!N18/'W2'!H187*'W2'!B258*'W2'!$B$247+'Subcontract 1'!N18/'W2'!H187*'W2'!C258*'W2'!$C$247,0),0)</f>
        <v>#REF!</v>
      </c>
      <c r="C311" s="300"/>
      <c r="D311" s="302" t="e">
        <f>ROUND('Subcontract 1'!O18/(D258+E258)*'W2'!D258*'W2'!D$247+'Subcontract 1'!O18/(D258+E258)*'W2'!E258*'W2'!E$247,0)</f>
        <v>#REF!</v>
      </c>
      <c r="E311" s="300"/>
      <c r="F311" s="302" t="e">
        <f>ROUND('Subcontract 1'!P18/(F258+G258)*'W2'!F258*'W2'!F$247+'Subcontract 1'!P18/(F258+G258)*'W2'!G258*'W2'!G$247,0)</f>
        <v>#REF!</v>
      </c>
      <c r="G311" s="300"/>
      <c r="H311" s="302" t="e">
        <f>ROUND('Subcontract 1'!Q18/(H258+I258)*'W2'!H258*'W2'!H$247+'Subcontract 1'!Q18/(H258+I258)*'W2'!I258*'W2'!I$247,0)</f>
        <v>#REF!</v>
      </c>
      <c r="I311" s="300"/>
      <c r="J311" s="302" t="str">
        <f>IF(J285=0,"",ROUND('Subcontract 1'!R18/(J258+K258)*'W2'!J258*'W2'!J$247+'Subcontract 1'!R18/(J258+K258)*'W2'!K258*'W2'!K$247,0))</f>
        <v/>
      </c>
      <c r="K311" s="300"/>
    </row>
    <row r="312" spans="1:12" x14ac:dyDescent="0.2">
      <c r="A312" s="82">
        <f t="shared" si="68"/>
        <v>0</v>
      </c>
      <c r="B312" s="302" t="e">
        <f>IF((B259+C259)&lt;&gt;0,ROUND('Subcontract 1'!N19/'W2'!H188*'W2'!B259*'W2'!$B$247+'Subcontract 1'!N19/'W2'!H188*'W2'!C259*'W2'!$C$247,0),0)</f>
        <v>#REF!</v>
      </c>
      <c r="C312" s="300"/>
      <c r="D312" s="302" t="e">
        <f>ROUND('Subcontract 1'!O19/(D259+E259)*'W2'!D259*'W2'!D$247+'Subcontract 1'!O19/(D259+E259)*'W2'!E259*'W2'!E$247,0)</f>
        <v>#REF!</v>
      </c>
      <c r="E312" s="300"/>
      <c r="F312" s="302" t="e">
        <f>ROUND('Subcontract 1'!P19/(F259+G259)*'W2'!F259*'W2'!F$247+'Subcontract 1'!P19/(F259+G259)*'W2'!G259*'W2'!G$247,0)</f>
        <v>#REF!</v>
      </c>
      <c r="G312" s="300"/>
      <c r="H312" s="302" t="e">
        <f>ROUND('Subcontract 1'!Q19/(H259+I259)*'W2'!H259*'W2'!H$247+'Subcontract 1'!Q19/(H259+I259)*'W2'!I259*'W2'!I$247,0)</f>
        <v>#REF!</v>
      </c>
      <c r="I312" s="300"/>
      <c r="J312" s="302" t="str">
        <f>IF(J286=0,"",ROUND('Subcontract 1'!R19/(J259+K259)*'W2'!J259*'W2'!J$247+'Subcontract 1'!R19/(J259+K259)*'W2'!K259*'W2'!K$247,0))</f>
        <v/>
      </c>
      <c r="K312" s="300"/>
    </row>
    <row r="313" spans="1:12" x14ac:dyDescent="0.2">
      <c r="A313" s="82">
        <f t="shared" si="68"/>
        <v>0</v>
      </c>
      <c r="B313" s="302" t="e">
        <f>IF((B260+C260)&lt;&gt;0,ROUND('Subcontract 1'!N20/'W2'!H189*'W2'!B260*'W2'!$B$247+'Subcontract 1'!N20/'W2'!H189*'W2'!C260*'W2'!$C$247,0),0)</f>
        <v>#REF!</v>
      </c>
      <c r="C313" s="300"/>
      <c r="D313" s="302" t="e">
        <f>ROUND('Subcontract 1'!O20/(D260+E260)*'W2'!D260*'W2'!D$247+'Subcontract 1'!O20/(D260+E260)*'W2'!E260*'W2'!E$247,0)</f>
        <v>#REF!</v>
      </c>
      <c r="E313" s="300"/>
      <c r="F313" s="302" t="e">
        <f>ROUND('Subcontract 1'!P20/(F260+G260)*'W2'!F260*'W2'!F$247+'Subcontract 1'!P20/(F260+G260)*'W2'!G260*'W2'!G$247,0)</f>
        <v>#REF!</v>
      </c>
      <c r="G313" s="300"/>
      <c r="H313" s="302" t="e">
        <f>ROUND('Subcontract 1'!Q20/(H260+I260)*'W2'!H260*'W2'!H$247+'Subcontract 1'!Q20/(H260+I260)*'W2'!I260*'W2'!I$247,0)</f>
        <v>#REF!</v>
      </c>
      <c r="I313" s="300"/>
      <c r="J313" s="302" t="str">
        <f>IF(J287=0,"",ROUND('Subcontract 1'!R20/(J260+K260)*'W2'!J260*'W2'!J$247+'Subcontract 1'!R20/(J260+K260)*'W2'!K260*'W2'!K$247,0))</f>
        <v/>
      </c>
      <c r="K313" s="300"/>
    </row>
    <row r="314" spans="1:12" x14ac:dyDescent="0.2">
      <c r="A314" s="82">
        <f t="shared" si="68"/>
        <v>0</v>
      </c>
      <c r="B314" s="302" t="e">
        <f>IF((B261+C261)&lt;&gt;0,ROUND('Subcontract 1'!N21/'W2'!H190*'W2'!B261*'W2'!$B$247+'Subcontract 1'!N21/'W2'!H190*'W2'!C261*'W2'!$C$247,0),0)</f>
        <v>#REF!</v>
      </c>
      <c r="C314" s="300"/>
      <c r="D314" s="302" t="e">
        <f>ROUND('Subcontract 1'!O21/(D261+E261)*'W2'!D261*'W2'!D$247+'Subcontract 1'!O21/(D261+E261)*'W2'!E261*'W2'!E$247,0)</f>
        <v>#REF!</v>
      </c>
      <c r="E314" s="300"/>
      <c r="F314" s="302" t="e">
        <f>ROUND('Subcontract 1'!P21/(F261+G261)*'W2'!F261*'W2'!F$247+'Subcontract 1'!P21/(F261+G261)*'W2'!G261*'W2'!G$247,0)</f>
        <v>#REF!</v>
      </c>
      <c r="G314" s="300"/>
      <c r="H314" s="302" t="e">
        <f>ROUND('Subcontract 1'!Q21/(H261+I261)*'W2'!H261*'W2'!H$247+'Subcontract 1'!Q21/(H261+I261)*'W2'!I261*'W2'!I$247,0)</f>
        <v>#REF!</v>
      </c>
      <c r="I314" s="300"/>
      <c r="J314" s="302" t="str">
        <f>IF(J288=0,"",ROUND('Subcontract 1'!R21/(J261+K261)*'W2'!J261*'W2'!J$247+'Subcontract 1'!R21/(J261+K261)*'W2'!K261*'W2'!K$247,0))</f>
        <v/>
      </c>
      <c r="K314" s="300"/>
    </row>
    <row r="315" spans="1:12" x14ac:dyDescent="0.2">
      <c r="A315" s="82">
        <f t="shared" si="68"/>
        <v>0</v>
      </c>
      <c r="B315" s="302" t="e">
        <f>IF((B262+C262)&lt;&gt;0,ROUND('Subcontract 1'!N22/'W2'!H191*'W2'!B262*'W2'!$B$247+'Subcontract 1'!N22/'W2'!H191*'W2'!C262*'W2'!$C$247,0),0)</f>
        <v>#REF!</v>
      </c>
      <c r="C315" s="300"/>
      <c r="D315" s="302" t="e">
        <f>ROUND('Subcontract 1'!O22/(D262+E262)*'W2'!D262*'W2'!D$247+'Subcontract 1'!O22/(D262+E262)*'W2'!E262*'W2'!E$247,0)</f>
        <v>#REF!</v>
      </c>
      <c r="E315" s="300"/>
      <c r="F315" s="302" t="e">
        <f>ROUND('Subcontract 1'!P22/(F262+G262)*'W2'!F262*'W2'!F$247+'Subcontract 1'!P22/(F262+G262)*'W2'!G262*'W2'!G$247,0)</f>
        <v>#REF!</v>
      </c>
      <c r="G315" s="300"/>
      <c r="H315" s="302" t="e">
        <f>ROUND('Subcontract 1'!Q22/(H262+I262)*'W2'!H262*'W2'!H$247+'Subcontract 1'!Q22/(H262+I262)*'W2'!I262*'W2'!I$247,0)</f>
        <v>#REF!</v>
      </c>
      <c r="I315" s="300"/>
      <c r="J315" s="302" t="str">
        <f>IF(J289=0,"",ROUND('Subcontract 1'!R22/(J262+K262)*'W2'!J262*'W2'!J$247+'Subcontract 1'!R22/(J262+K262)*'W2'!K262*'W2'!K$247,0))</f>
        <v/>
      </c>
      <c r="K315" s="300"/>
    </row>
    <row r="316" spans="1:12" x14ac:dyDescent="0.2">
      <c r="A316" s="82">
        <f t="shared" si="68"/>
        <v>0</v>
      </c>
      <c r="B316" s="302" t="e">
        <f>IF((B263+C263)&lt;&gt;0,ROUND('Subcontract 1'!N23/'W2'!H192*'W2'!B263*'W2'!$B$247+'Subcontract 1'!N23/'W2'!H192*'W2'!C263*'W2'!$C$247,0),0)</f>
        <v>#REF!</v>
      </c>
      <c r="C316" s="300"/>
      <c r="D316" s="302" t="e">
        <f>ROUND('Subcontract 1'!O23/(D263+E263)*'W2'!D263*'W2'!D$247+'Subcontract 1'!O23/(D263+E263)*'W2'!E263*'W2'!E$247,0)</f>
        <v>#REF!</v>
      </c>
      <c r="E316" s="300"/>
      <c r="F316" s="302" t="e">
        <f>ROUND('Subcontract 1'!P23/(F263+G263)*'W2'!F263*'W2'!F$247+'Subcontract 1'!P23/(F263+G263)*'W2'!G263*'W2'!G$247,0)</f>
        <v>#REF!</v>
      </c>
      <c r="G316" s="300"/>
      <c r="H316" s="302" t="e">
        <f>ROUND('Subcontract 1'!Q23/(H263+I263)*'W2'!H263*'W2'!H$247+'Subcontract 1'!Q23/(H263+I263)*'W2'!I263*'W2'!I$247,0)</f>
        <v>#REF!</v>
      </c>
      <c r="I316" s="300"/>
      <c r="J316" s="302" t="str">
        <f>IF(J290=0,"",ROUND('Subcontract 1'!R23/(J263+K263)*'W2'!J263*'W2'!J$247+'Subcontract 1'!R23/(J263+K263)*'W2'!K263*'W2'!K$247,0))</f>
        <v/>
      </c>
      <c r="K316" s="300"/>
    </row>
    <row r="317" spans="1:12" x14ac:dyDescent="0.2">
      <c r="A317" s="82">
        <f t="shared" si="68"/>
        <v>0</v>
      </c>
      <c r="B317" s="302" t="e">
        <f>IF((B264+C264)&lt;&gt;0,ROUND('Subcontract 1'!N24/'W2'!H193*'W2'!B264*'W2'!$B$247+'Subcontract 1'!N24/'W2'!H193*'W2'!C264*'W2'!$C$247,0),0)</f>
        <v>#REF!</v>
      </c>
      <c r="C317" s="300"/>
      <c r="D317" s="302" t="e">
        <f>ROUND('Subcontract 1'!O24/(D264+E264)*'W2'!D264*'W2'!D$247+'Subcontract 1'!O24/(D264+E264)*'W2'!E264*'W2'!E$247,0)</f>
        <v>#REF!</v>
      </c>
      <c r="E317" s="300"/>
      <c r="F317" s="302" t="e">
        <f>ROUND('Subcontract 1'!P24/(F264+G264)*'W2'!F264*'W2'!F$247+'Subcontract 1'!P24/(F264+G264)*'W2'!G264*'W2'!G$247,0)</f>
        <v>#REF!</v>
      </c>
      <c r="G317" s="300"/>
      <c r="H317" s="302" t="e">
        <f>ROUND('Subcontract 1'!Q24/(H264+I264)*'W2'!H264*'W2'!H$247+'Subcontract 1'!Q24/(H264+I264)*'W2'!I264*'W2'!I$247,0)</f>
        <v>#REF!</v>
      </c>
      <c r="I317" s="300"/>
      <c r="J317" s="302" t="str">
        <f>IF(J291=0,"",ROUND('Subcontract 1'!R24/(J264+K264)*'W2'!J264*'W2'!J$247+'Subcontract 1'!R24/(J264+K264)*'W2'!K264*'W2'!K$247,0))</f>
        <v/>
      </c>
      <c r="K317" s="300"/>
    </row>
    <row r="318" spans="1:12" x14ac:dyDescent="0.2">
      <c r="A318" s="82">
        <f t="shared" si="68"/>
        <v>0</v>
      </c>
      <c r="B318" s="302" t="e">
        <f>IF((B265+C265)&lt;&gt;0,ROUND('Subcontract 1'!N25/'W2'!H194*'W2'!B265*'W2'!$B$247+'Subcontract 1'!N25/'W2'!H194*'W2'!C265*'W2'!$C$247,0),0)</f>
        <v>#REF!</v>
      </c>
      <c r="C318" s="300"/>
      <c r="D318" s="302" t="e">
        <f>ROUND('Subcontract 1'!O25/(D265+E265)*'W2'!D265*'W2'!D$247+'Subcontract 1'!O25/(D265+E265)*'W2'!E265*'W2'!E$247,0)</f>
        <v>#REF!</v>
      </c>
      <c r="E318" s="300"/>
      <c r="F318" s="302" t="e">
        <f>ROUND('Subcontract 1'!P25/(F265+G265)*'W2'!F265*'W2'!F$247+'Subcontract 1'!P25/(F265+G265)*'W2'!G265*'W2'!G$247,0)</f>
        <v>#REF!</v>
      </c>
      <c r="G318" s="300"/>
      <c r="H318" s="302" t="e">
        <f>ROUND('Subcontract 1'!Q25/(H265+I265)*'W2'!H265*'W2'!H$247+'Subcontract 1'!Q25/(H265+I265)*'W2'!I265*'W2'!I$247,0)</f>
        <v>#REF!</v>
      </c>
      <c r="I318" s="300"/>
      <c r="J318" s="302" t="str">
        <f>IF(J292=0,"",ROUND('Subcontract 1'!R25/(J265+K265)*'W2'!J265*'W2'!J$247+'Subcontract 1'!R25/(J265+K265)*'W2'!K265*'W2'!K$247,0))</f>
        <v/>
      </c>
      <c r="K318" s="300"/>
    </row>
    <row r="319" spans="1:12" x14ac:dyDescent="0.2">
      <c r="A319" s="82">
        <f t="shared" si="68"/>
        <v>0</v>
      </c>
      <c r="B319" s="302" t="e">
        <f>IF((B266+C266)&lt;&gt;0,ROUND('Subcontract 1'!N26/'W2'!H195*'W2'!B266*'W2'!$B$247+'Subcontract 1'!N26/'W2'!H195*'W2'!C266*'W2'!$C$247,0),0)</f>
        <v>#REF!</v>
      </c>
      <c r="C319" s="300"/>
      <c r="D319" s="302" t="e">
        <f>ROUND('Subcontract 1'!O26/(D266+E266)*'W2'!D266*'W2'!D$247+'Subcontract 1'!O26/(D266+E266)*'W2'!E266*'W2'!E$247,0)</f>
        <v>#REF!</v>
      </c>
      <c r="E319" s="300"/>
      <c r="F319" s="302" t="e">
        <f>ROUND('Subcontract 1'!P26/(F266+G266)*'W2'!F266*'W2'!F$247+'Subcontract 1'!P26/(F266+G266)*'W2'!G266*'W2'!G$247,0)</f>
        <v>#REF!</v>
      </c>
      <c r="G319" s="300"/>
      <c r="H319" s="302" t="e">
        <f>ROUND('Subcontract 1'!Q26/(H266+I266)*'W2'!H266*'W2'!H$247+'Subcontract 1'!Q26/(H266+I266)*'W2'!I266*'W2'!I$247,0)</f>
        <v>#REF!</v>
      </c>
      <c r="I319" s="300"/>
      <c r="J319" s="302" t="str">
        <f>IF(J293=0,"",ROUND('Subcontract 1'!R26/(J266+K266)*'W2'!J266*'W2'!J$247+'Subcontract 1'!R26/(J266+K266)*'W2'!K266*'W2'!K$247,0))</f>
        <v/>
      </c>
      <c r="K319" s="300"/>
    </row>
    <row r="320" spans="1:12" x14ac:dyDescent="0.2">
      <c r="A320" s="82">
        <f t="shared" si="68"/>
        <v>0</v>
      </c>
      <c r="B320" s="302" t="e">
        <f>IF((B267+C267)&lt;&gt;0,ROUND('Subcontract 1'!N27/'W2'!H196*'W2'!B267*'W2'!$B$247+'Subcontract 1'!N27/'W2'!H196*'W2'!C267*'W2'!$C$247,0),0)</f>
        <v>#REF!</v>
      </c>
      <c r="C320" s="300"/>
      <c r="D320" s="302" t="e">
        <f>ROUND('Subcontract 1'!O27/(D267+E267)*'W2'!D267*'W2'!D$247+'Subcontract 1'!O27/(D267+E267)*'W2'!E267*'W2'!E$247,0)</f>
        <v>#REF!</v>
      </c>
      <c r="E320" s="300"/>
      <c r="F320" s="302" t="e">
        <f>ROUND('Subcontract 1'!P27/(F267+G267)*'W2'!F267*'W2'!F$247+'Subcontract 1'!P27/(F267+G267)*'W2'!G267*'W2'!G$247,0)</f>
        <v>#REF!</v>
      </c>
      <c r="G320" s="300"/>
      <c r="H320" s="302" t="e">
        <f>ROUND('Subcontract 1'!Q27/(H267+I267)*'W2'!H267*'W2'!H$247+'Subcontract 1'!Q27/(H267+I267)*'W2'!I267*'W2'!I$247,0)</f>
        <v>#REF!</v>
      </c>
      <c r="I320" s="300"/>
      <c r="J320" s="302" t="str">
        <f>IF(J294=0,"",ROUND('Subcontract 1'!R27/(J267+K267)*'W2'!J267*'W2'!J$247+'Subcontract 1'!R27/(J267+K267)*'W2'!K267*'W2'!K$247,0))</f>
        <v/>
      </c>
      <c r="K320" s="300"/>
    </row>
    <row r="321" spans="1:11" x14ac:dyDescent="0.2">
      <c r="A321" s="82">
        <f t="shared" si="68"/>
        <v>0</v>
      </c>
      <c r="B321" s="302" t="e">
        <f>IF((B268+C268)&lt;&gt;0,ROUND('Subcontract 1'!N28/'W2'!H197*'W2'!B268*'W2'!$B$247+'Subcontract 1'!N28/'W2'!H197*'W2'!C268*'W2'!$C$247,0),0)</f>
        <v>#REF!</v>
      </c>
      <c r="C321" s="300"/>
      <c r="D321" s="302" t="e">
        <f>ROUND('Subcontract 1'!O28/(D268+E268)*'W2'!D268*'W2'!D$247+'Subcontract 1'!O28/(D268+E268)*'W2'!E268*'W2'!E$247,0)</f>
        <v>#REF!</v>
      </c>
      <c r="E321" s="300"/>
      <c r="F321" s="302" t="e">
        <f>ROUND('Subcontract 1'!P28/(F268+G268)*'W2'!F268*'W2'!F$247+'Subcontract 1'!P28/(F268+G268)*'W2'!G268*'W2'!G$247,0)</f>
        <v>#REF!</v>
      </c>
      <c r="G321" s="300"/>
      <c r="H321" s="302" t="e">
        <f>ROUND('Subcontract 1'!Q28/(H268+I268)*'W2'!H268*'W2'!H$247+'Subcontract 1'!Q28/(H268+I268)*'W2'!I268*'W2'!I$247,0)</f>
        <v>#REF!</v>
      </c>
      <c r="I321" s="300"/>
      <c r="J321" s="302" t="str">
        <f>IF(J295=0,"",ROUND('Subcontract 1'!R28/(J268+K268)*'W2'!J268*'W2'!J$247+'Subcontract 1'!R28/(J268+K268)*'W2'!K268*'W2'!K$247,0))</f>
        <v/>
      </c>
      <c r="K321" s="300"/>
    </row>
    <row r="322" spans="1:11" x14ac:dyDescent="0.2">
      <c r="A322" s="82">
        <f t="shared" si="68"/>
        <v>0</v>
      </c>
      <c r="B322" s="302" t="e">
        <f>IF((B269+C269)&lt;&gt;0,ROUND('Subcontract 1'!N29/'W2'!H198*'W2'!B269*'W2'!$B$247+'Subcontract 1'!N29/'W2'!H198*'W2'!C269*'W2'!$C$247,0),0)</f>
        <v>#REF!</v>
      </c>
      <c r="C322" s="300"/>
      <c r="D322" s="302" t="e">
        <f>ROUND('Subcontract 1'!O29/(D269+E269)*'W2'!D269*'W2'!D$247+'Subcontract 1'!O29/(D269+E269)*'W2'!E269*'W2'!E$247,0)</f>
        <v>#REF!</v>
      </c>
      <c r="E322" s="300"/>
      <c r="F322" s="302" t="e">
        <f>ROUND('Subcontract 1'!P29/(F269+G269)*'W2'!F269*'W2'!F$247+'Subcontract 1'!P29/(F269+G269)*'W2'!G269*'W2'!G$247,0)</f>
        <v>#REF!</v>
      </c>
      <c r="G322" s="300"/>
      <c r="H322" s="302" t="e">
        <f>ROUND('Subcontract 1'!Q29/(H269+I269)*'W2'!H269*'W2'!H$247+'Subcontract 1'!Q29/(H269+I269)*'W2'!I269*'W2'!I$247,0)</f>
        <v>#REF!</v>
      </c>
      <c r="I322" s="300"/>
      <c r="J322" s="302" t="str">
        <f>IF(J296=0,"",ROUND('Subcontract 1'!R29/(J269+K269)*'W2'!J269*'W2'!J$247+'Subcontract 1'!R29/(J269+K269)*'W2'!K269*'W2'!K$247,0))</f>
        <v/>
      </c>
      <c r="K322" s="300"/>
    </row>
    <row r="323" spans="1:11" x14ac:dyDescent="0.2">
      <c r="A323" s="82">
        <f t="shared" si="68"/>
        <v>0</v>
      </c>
      <c r="B323" s="302" t="e">
        <f>IF((B270+C270)&lt;&gt;0,ROUND('Subcontract 1'!N30/'W2'!H199*'W2'!B270*'W2'!$B$247+'Subcontract 1'!N30/'W2'!H199*'W2'!C270*'W2'!$C$247,0),0)</f>
        <v>#REF!</v>
      </c>
      <c r="C323" s="300"/>
      <c r="D323" s="302" t="e">
        <f>ROUND('Subcontract 1'!O30/(D270+E270)*'W2'!D270*'W2'!D$247+'Subcontract 1'!O30/(D270+E270)*'W2'!E270*'W2'!E$247,0)</f>
        <v>#REF!</v>
      </c>
      <c r="E323" s="300"/>
      <c r="F323" s="302" t="e">
        <f>ROUND('Subcontract 1'!P30/(F270+G270)*'W2'!F270*'W2'!F$247+'Subcontract 1'!P30/(F270+G270)*'W2'!G270*'W2'!G$247,0)</f>
        <v>#REF!</v>
      </c>
      <c r="G323" s="300"/>
      <c r="H323" s="302" t="e">
        <f>ROUND('Subcontract 1'!Q30/(H270+I270)*'W2'!H270*'W2'!H$247+'Subcontract 1'!Q30/(H270+I270)*'W2'!I270*'W2'!I$247,0)</f>
        <v>#REF!</v>
      </c>
      <c r="I323" s="300"/>
      <c r="J323" s="302" t="str">
        <f>IF(J297=0,"",ROUND('Subcontract 1'!R30/(J270+K270)*'W2'!J270*'W2'!J$247+'Subcontract 1'!R30/(J270+K270)*'W2'!K270*'W2'!K$247,0))</f>
        <v/>
      </c>
      <c r="K323" s="300"/>
    </row>
    <row r="324" spans="1:11" x14ac:dyDescent="0.2">
      <c r="A324" s="82">
        <f t="shared" si="68"/>
        <v>0</v>
      </c>
      <c r="B324" s="302" t="e">
        <f>IF((B271+C271)&lt;&gt;0,ROUND('Subcontract 1'!N31/'W2'!H200*'W2'!B271*'W2'!$B$247+'Subcontract 1'!N31/'W2'!H200*'W2'!C271*'W2'!$C$247,0),0)</f>
        <v>#REF!</v>
      </c>
      <c r="C324" s="300"/>
      <c r="D324" s="302" t="e">
        <f>ROUND('Subcontract 1'!O31/(D271+E271)*'W2'!D271*'W2'!D$247+'Subcontract 1'!O31/(D271+E271)*'W2'!E271*'W2'!E$247,0)</f>
        <v>#REF!</v>
      </c>
      <c r="E324" s="300"/>
      <c r="F324" s="302" t="e">
        <f>ROUND('Subcontract 1'!P31/(F271+G271)*'W2'!F271*'W2'!F$247+'Subcontract 1'!P31/(F271+G271)*'W2'!G271*'W2'!G$247,0)</f>
        <v>#REF!</v>
      </c>
      <c r="G324" s="300"/>
      <c r="H324" s="302" t="e">
        <f>ROUND('Subcontract 1'!Q31/(H271+I271)*'W2'!H271*'W2'!H$247+'Subcontract 1'!Q31/(H271+I271)*'W2'!I271*'W2'!I$247,0)</f>
        <v>#REF!</v>
      </c>
      <c r="I324" s="300"/>
      <c r="J324" s="302" t="str">
        <f>IF(J298=0,"",ROUND('Subcontract 1'!R31/(J271+K271)*'W2'!J271*'W2'!J$247+'Subcontract 1'!R31/(J271+K271)*'W2'!K271*'W2'!K$247,0))</f>
        <v/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>
        <f>IF('W2'!$C$5=0,"",IF(AND('Subcontract 1'!$S$4="Multi",'Subcontract 1'!$R$4="FY"),ROUND(((1+'Subcontract 1'!$M8)^'W2'!$B$20*'W2'!$C$9+(1+'Subcontract 1'!$M8)^('W2'!$B$20+1)*'W2'!$C$10)/('W2'!$C$5)*'Subcontract 1'!$E8,0),(IF(AND('Subcontract 1'!$S$4="Multi",'Subcontract 1'!$R$4="PY"),ROUND('Subcontract 1'!$E8/('W2'!$C$5)*'W2'!$C$5,0),(IF(AND('Subcontract 1'!$S$4&lt;&gt;"Multi",'Subcontract 1'!$R$4="FY"),ROUND(((1+'Subcontract 1'!$S$4)^'W2'!$B$20*'W2'!$C$9+(1+'Subcontract 1'!$S$4)^('W2'!$B$20+1)*'W2'!$C$10)/'W2'!$C$5*'Subcontract 1'!$E8,0),ROUND('Subcontract 1'!$E8/'W2'!$C$5*'W2'!$C$5,0)))))))</f>
        <v>0</v>
      </c>
      <c r="C328" s="300"/>
      <c r="D328" s="302">
        <f>IF('W2'!$D$5=0,"",IF($C$4=$D$4,(IF(AND('Subcontract 1'!$S$4="Multi",'Subcontract 1'!$R$4="FY"),ROUND(((1+'Subcontract 1'!$M8)^('W2'!$B$20)*'W2'!$D$9+(1+'Subcontract 1'!$M8)^('W2'!$B$20+1)*'W2'!$D$10)/'W2'!$D$5*'Subcontract 1'!$E8,0),(IF(AND('Subcontract 1'!$S$4="Multi",'Subcontract 1'!$R$4="PY"),ROUND('Subcontract 1'!$E8*(1+'Subcontract 1'!$M8)/'W2'!$D$5*'W2'!$D$5,0),(IF(AND('Subcontract 1'!$S$4&lt;&gt;"Multi",'Subcontract 1'!$R$4="FY"),ROUND(((1+'Subcontract 1'!$S$4)^('W2'!$B$20)*'W2'!$D$9+(1+'Subcontract 1'!$S$4)^('W2'!$B$20+1)*'W2'!$D$10)/'W2'!$D$5*'Subcontract 1'!$E8,0),ROUND('Subcontract 1'!$E8*(1+'Subcontract 1'!$S$4)/'W2'!$D$5*'W2'!$D$5,0))))))),(IF(AND('Subcontract 1'!$S$4="Multi",'Subcontract 1'!$R$4="FY"),ROUND(((1+'Subcontract 1'!$M8)^('W2'!$B$20+1)*'W2'!$D$9+(1+'Subcontract 1'!$M8)^('W2'!$B$20+2)*'W2'!$D$10)/'W2'!$D$5*'Subcontract 1'!$E8,0),(IF(AND('Subcontract 1'!$S$4="Multi",'Subcontract 1'!$R$4="PY"),ROUND('Subcontract 1'!$E8*(1+'Subcontract 1'!$M8)/'W2'!$D$5*'W2'!$D$5,0),(IF(AND('Subcontract 1'!$S$4&lt;&gt;"Multi",'Subcontract 1'!$R$4="FY"),ROUND(((1+'Subcontract 1'!$S$4)^('W2'!$B$20+1)*'W2'!$D$9+(1+'Subcontract 1'!$S$4)^('W2'!$B$20+2)*'W2'!$D$10)/'W2'!$D$5*'Subcontract 1'!$E8,0),ROUND('Subcontract 1'!$E8*(1+'Subcontract 1'!$S$4)/'W2'!$D$5*'W2'!$D$5,0)))))))))</f>
        <v>0</v>
      </c>
      <c r="E328" s="300"/>
      <c r="F328" s="302" t="str">
        <f>IF('W2'!$E$5=0,"",IF($C$4=$D$4,(IF(AND('Subcontract 1'!$S$4="Multi",'Subcontract 1'!$R$4="FY"),ROUND(((1+'Subcontract 1'!$M8)^('W2'!$B$20+1)*'W2'!$E$9+(1+'Subcontract 1'!$M8)^('W2'!$B$20+3)*'W2'!$E$10)/'W2'!$E$5*'Subcontract 1'!$E8,0),(IF(AND('Subcontract 1'!$S$4="Multi",'Subcontract 1'!$R$4="PY"),ROUND('Subcontract 1'!$E8*((1+'Subcontract 1'!$M8)^2)/'W2'!$E$5*'W2'!$E$5,0),(IF(AND('Subcontract 1'!$S$4&lt;&gt;"Multi",'Subcontract 1'!$R$4="FY"),ROUND(((1+'Subcontract 1'!$S$4)^('W2'!$B$20+1)*'W2'!$E$9+(1+'Subcontract 1'!$S$4)^('W2'!$B$20+2)*'W2'!$E$10)/'W2'!$E$5*'Subcontract 1'!$E8,0),ROUND('Subcontract 1'!$E8*((1+'Subcontract 1'!$S$4)^2)/'W2'!$E$5*'W2'!$E$5,0))))))),(IF(AND('Subcontract 1'!$S$4="Multi",'Subcontract 1'!$R$4="FY"),ROUND(((1+'Subcontract 1'!$M8)^('W2'!$B$20+2)*'W2'!$E$9+(1+'Subcontract 1'!$M8)^('W2'!$B$20+3)*'W2'!$E$10)/'W2'!$E$5*'Subcontract 1'!$E8,0),(IF(AND('Subcontract 1'!$S$4="Multi",'Subcontract 1'!$R$4="PY"),ROUND('Subcontract 1'!$E8*((1+'Subcontract 1'!$M8)^2)/'W2'!$E$5*'W2'!$E$5,0),(IF(AND('Subcontract 1'!$S$4&lt;&gt;"Multi",'Subcontract 1'!$R$4="FY"),ROUND(((1+'Subcontract 1'!$S$4)^('W2'!$B$20+2)*'W2'!$E$9+(1+'Subcontract 1'!$S$4)^('W2'!$B$20+3)*'W2'!$E$10)/'W2'!$E$5*'Subcontract 1'!$E8,0),ROUND('Subcontract 1'!$E8*((1+'Subcontract 1'!$S$4)^2)/'W2'!$E$5*'W2'!$E$5,0)))))))))</f>
        <v/>
      </c>
      <c r="G328" s="300"/>
      <c r="H328" s="302" t="str">
        <f>IF('W2'!$F$5=0,"",IF($C$4=$D$4,(IF(AND('Subcontract 1'!$S$4="Multi",'Subcontract 1'!$R$4="FY"),ROUND(((1+'Subcontract 1'!$M8)^('W2'!$B$20+2)*'W2'!$F$9+(1+'Subcontract 1'!$M8)^('W2'!$B$20+3)*'W2'!$F$10)/'W2'!$F$5*'Subcontract 1'!$E8,0),(IF(AND('Subcontract 1'!$S$4="Multi",'Subcontract 1'!$R$4="PY"),ROUND('Subcontract 1'!$E8*((1+'Subcontract 1'!$M8)^3)/'W2'!$F$5*'W2'!$F$5,0),(IF(AND('Subcontract 1'!$S$4&lt;&gt;"Multi",'Subcontract 1'!$R$4="FY"),ROUND(((1+'Subcontract 1'!$S$4)^('W2'!$B$20+2)*'W2'!$F$9+(1+'Subcontract 1'!$S$4)^('W2'!$B$20+3)*'W2'!$F$10)/'W2'!$F$5*'Subcontract 1'!$E8,0),ROUND('Subcontract 1'!$E8*((1+'Subcontract 1'!$S$4)^3)/'W2'!$F$5*'W2'!$F$5,0))))))),(IF(AND('Subcontract 1'!$S$4="Multi",'Subcontract 1'!$R$4="FY"),ROUND(((1+'Subcontract 1'!$M8)^('W2'!$B$20+3)*'W2'!$F$9+(1+'Subcontract 1'!$M8)^('W2'!$B$20+4)*'W2'!$F$10)/'W2'!$F$5*'Subcontract 1'!$E8,0),(IF(AND('Subcontract 1'!$S$4="Multi",'Subcontract 1'!$R$4="PY"),ROUND('Subcontract 1'!$E8*((1+'Subcontract 1'!$M8)^3)/'W2'!$F$5*'W2'!$F$5,0),(IF(AND('Subcontract 1'!$S$4&lt;&gt;"Multi",'Subcontract 1'!$R$4="FY"),ROUND(((1+'Subcontract 1'!$S$4)^('W2'!$B$20+3)*'W2'!$F$9+(1+'Subcontract 1'!$S$4)^('W2'!$B$20+4)*'W2'!$F$10)/'W2'!$F$5*'Subcontract 1'!$E8,0),ROUND('Subcontract 1'!$E8*((1+'Subcontract 1'!$S$4)^3)/'W2'!$F$5*'W2'!$F$5,0)))))))))</f>
        <v/>
      </c>
      <c r="I328" s="300"/>
      <c r="J328" s="302" t="str">
        <f>IF('W2'!$G$5=0,"",IF($C$4=$D$4,(IF(AND('Subcontract 1'!$S$4="Multi",'Subcontract 1'!$R$4="FY"),ROUND(((1+'Subcontract 1'!$M8)^('W2'!$B$20+3)*'W2'!$G$9+(1+'Subcontract 1'!$M8)^('W2'!$B$20+4)*'W2'!$G$10)/'W2'!$G$5*'Subcontract 1'!$E8,0),(IF(AND('Subcontract 1'!$S$4="Multi",'Subcontract 1'!$R$4="PY"),ROUND('Subcontract 1'!$E8*((1+'Subcontract 1'!$M8)^4)/'W2'!$G$5*'W2'!$G$5,0),(IF(AND('Subcontract 1'!$S$4&lt;&gt;"Multi",'Subcontract 1'!$R$4="FY"),ROUND(((1+'Subcontract 1'!$S$4)^('W2'!$B$20+3)*'W2'!$G$9+(1+'Subcontract 1'!$S$4)^('W2'!$B$20+4)*'W2'!$G$10)/'W2'!$G$5*'Subcontract 1'!$E8,0),ROUND('Subcontract 1'!$E8*((1+'Subcontract 1'!$S$4)^4)/'W2'!$G$5*'W2'!$G$5,0))))))),(IF(AND('Subcontract 1'!$S$4="Multi",'Subcontract 1'!$R$4="FY"),ROUND(((1+'Subcontract 1'!$M8)^('W2'!$B$20+4)*'W2'!$G$9+(1+'Subcontract 1'!$M8)^('W2'!$B$20+5)*'W2'!$G$10)/'W2'!$G$5*'Subcontract 1'!$E8,0),(IF(AND('Subcontract 1'!$S$4="Multi",'Subcontract 1'!$R$4="PY"),ROUND('Subcontract 1'!$E8*((1+'Subcontract 1'!$M8)^4)/'W2'!$G$5*'W2'!$G$5,0),(IF(AND('Subcontract 1'!$S$4&lt;&gt;"Multi",'Subcontract 1'!$R$4="FY"),ROUND(((1+'Subcontract 1'!$S$4)^('W2'!$B$20+4)*'W2'!$G$9+(1+'Subcontract 1'!$S$4)^('W2'!$B$20+5)*'W2'!$G$10)/'W2'!$G$5*'Subcontract 1'!$E8,0),ROUND('Subcontract 1'!$E8*((1+'Subcontract 1'!$S$4)^4)/'W2'!$G$5*'W2'!$G$5,0)))))))))</f>
        <v/>
      </c>
      <c r="K328" s="300"/>
    </row>
    <row r="329" spans="1:11" x14ac:dyDescent="0.2">
      <c r="A329" s="82" t="e">
        <f>#REF!</f>
        <v>#REF!</v>
      </c>
      <c r="B329" s="302">
        <f>IF('W2'!$C$5=0,"",IF(AND('Subcontract 1'!$S$4="Multi",'Subcontract 1'!$R$4="FY"),ROUND(((1+'Subcontract 1'!$M9)^'W2'!$B$20*'W2'!$C$9+(1+'Subcontract 1'!$M9)^('W2'!$B$20+1)*'W2'!$C$10)/('W2'!$C$5)*'Subcontract 1'!$E9,0),(IF(AND('Subcontract 1'!$S$4="Multi",'Subcontract 1'!$R$4="PY"),ROUND('Subcontract 1'!$E9/('W2'!$C$5)*'W2'!$C$5,0),(IF(AND('Subcontract 1'!$S$4&lt;&gt;"Multi",'Subcontract 1'!$R$4="FY"),ROUND(((1+'Subcontract 1'!$S$4)^'W2'!$B$20*'W2'!$C$9+(1+'Subcontract 1'!$S$4)^('W2'!$B$20+1)*'W2'!$C$10)/'W2'!$C$5*'Subcontract 1'!$E9,0),ROUND('Subcontract 1'!$E9/'W2'!$C$5*'W2'!$C$5,0)))))))</f>
        <v>0</v>
      </c>
      <c r="C329" s="300"/>
      <c r="D329" s="302">
        <f>IF('W2'!$D$5=0,"",IF($C$4=$D$4,(IF(AND('Subcontract 1'!$S$4="Multi",'Subcontract 1'!$R$4="FY"),ROUND(((1+'Subcontract 1'!$M9)^('W2'!$B$20)*'W2'!$D$9+(1+'Subcontract 1'!$M9)^('W2'!$B$20+1)*'W2'!$D$10)/'W2'!$D$5*'Subcontract 1'!$E9,0),(IF(AND('Subcontract 1'!$S$4="Multi",'Subcontract 1'!$R$4="PY"),ROUND('Subcontract 1'!$E9*(1+'Subcontract 1'!$M9)/'W2'!$D$5*'W2'!$D$5,0),(IF(AND('Subcontract 1'!$S$4&lt;&gt;"Multi",'Subcontract 1'!$R$4="FY"),ROUND(((1+'Subcontract 1'!$S$4)^('W2'!$B$20)*'W2'!$D$9+(1+'Subcontract 1'!$S$4)^('W2'!$B$20+1)*'W2'!$D$10)/'W2'!$D$5*'Subcontract 1'!$E9,0),ROUND('Subcontract 1'!$E9*(1+'Subcontract 1'!$S$4)/'W2'!$D$5*'W2'!$D$5,0))))))),(IF(AND('Subcontract 1'!$S$4="Multi",'Subcontract 1'!$R$4="FY"),ROUND(((1+'Subcontract 1'!$M9)^('W2'!$B$20+1)*'W2'!$D$9+(1+'Subcontract 1'!$M9)^('W2'!$B$20+2)*'W2'!$D$10)/'W2'!$D$5*'Subcontract 1'!$E9,0),(IF(AND('Subcontract 1'!$S$4="Multi",'Subcontract 1'!$R$4="PY"),ROUND('Subcontract 1'!$E9*(1+'Subcontract 1'!$M9)/'W2'!$D$5*'W2'!$D$5,0),(IF(AND('Subcontract 1'!$S$4&lt;&gt;"Multi",'Subcontract 1'!$R$4="FY"),ROUND(((1+'Subcontract 1'!$S$4)^('W2'!$B$20+1)*'W2'!$D$9+(1+'Subcontract 1'!$S$4)^('W2'!$B$20+2)*'W2'!$D$10)/'W2'!$D$5*'Subcontract 1'!$E9,0),ROUND('Subcontract 1'!$E9*(1+'Subcontract 1'!$S$4)/'W2'!$D$5*'W2'!$D$5,0)))))))))</f>
        <v>0</v>
      </c>
      <c r="E329" s="300"/>
      <c r="F329" s="302" t="str">
        <f>IF('W2'!$E$5=0,"",IF($C$4=$D$4,(IF(AND('Subcontract 1'!$S$4="Multi",'Subcontract 1'!$R$4="FY"),ROUND(((1+'Subcontract 1'!$M9)^('W2'!$B$20+1)*'W2'!$E$9+(1+'Subcontract 1'!$M9)^('W2'!$B$20+3)*'W2'!$E$10)/'W2'!$E$5*'Subcontract 1'!$E9,0),(IF(AND('Subcontract 1'!$S$4="Multi",'Subcontract 1'!$R$4="PY"),ROUND('Subcontract 1'!$E9*((1+'Subcontract 1'!$M9)^2)/'W2'!$E$5*'W2'!$E$5,0),(IF(AND('Subcontract 1'!$S$4&lt;&gt;"Multi",'Subcontract 1'!$R$4="FY"),ROUND(((1+'Subcontract 1'!$S$4)^('W2'!$B$20+1)*'W2'!$E$9+(1+'Subcontract 1'!$S$4)^('W2'!$B$20+2)*'W2'!$E$10)/'W2'!$E$5*'Subcontract 1'!$E9,0),ROUND('Subcontract 1'!$E9*((1+'Subcontract 1'!$S$4)^2)/'W2'!$E$5*'W2'!$E$5,0))))))),(IF(AND('Subcontract 1'!$S$4="Multi",'Subcontract 1'!$R$4="FY"),ROUND(((1+'Subcontract 1'!$M9)^('W2'!$B$20+2)*'W2'!$E$9+(1+'Subcontract 1'!$M9)^('W2'!$B$20+3)*'W2'!$E$10)/'W2'!$E$5*'Subcontract 1'!$E9,0),(IF(AND('Subcontract 1'!$S$4="Multi",'Subcontract 1'!$R$4="PY"),ROUND('Subcontract 1'!$E9*((1+'Subcontract 1'!$M9)^2)/'W2'!$E$5*'W2'!$E$5,0),(IF(AND('Subcontract 1'!$S$4&lt;&gt;"Multi",'Subcontract 1'!$R$4="FY"),ROUND(((1+'Subcontract 1'!$S$4)^('W2'!$B$20+2)*'W2'!$E$9+(1+'Subcontract 1'!$S$4)^('W2'!$B$20+3)*'W2'!$E$10)/'W2'!$E$5*'Subcontract 1'!$E9,0),ROUND('Subcontract 1'!$E9*((1+'Subcontract 1'!$S$4)^2)/'W2'!$E$5*'W2'!$E$5,0)))))))))</f>
        <v/>
      </c>
      <c r="G329" s="300"/>
      <c r="H329" s="302" t="str">
        <f>IF('W2'!$F$5=0,"",IF($C$4=$D$4,(IF(AND('Subcontract 1'!$S$4="Multi",'Subcontract 1'!$R$4="FY"),ROUND(((1+'Subcontract 1'!$M9)^('W2'!$B$20+2)*'W2'!$F$9+(1+'Subcontract 1'!$M9)^('W2'!$B$20+3)*'W2'!$F$10)/'W2'!$F$5*'Subcontract 1'!$E9,0),(IF(AND('Subcontract 1'!$S$4="Multi",'Subcontract 1'!$R$4="PY"),ROUND('Subcontract 1'!$E9*((1+'Subcontract 1'!$M9)^3)/'W2'!$F$5*'W2'!$F$5,0),(IF(AND('Subcontract 1'!$S$4&lt;&gt;"Multi",'Subcontract 1'!$R$4="FY"),ROUND(((1+'Subcontract 1'!$S$4)^('W2'!$B$20+2)*'W2'!$F$9+(1+'Subcontract 1'!$S$4)^('W2'!$B$20+3)*'W2'!$F$10)/'W2'!$F$5*'Subcontract 1'!$E9,0),ROUND('Subcontract 1'!$E9*((1+'Subcontract 1'!$S$4)^3)/'W2'!$F$5*'W2'!$F$5,0))))))),(IF(AND('Subcontract 1'!$S$4="Multi",'Subcontract 1'!$R$4="FY"),ROUND(((1+'Subcontract 1'!$M9)^('W2'!$B$20+3)*'W2'!$F$9+(1+'Subcontract 1'!$M9)^('W2'!$B$20+4)*'W2'!$F$10)/'W2'!$F$5*'Subcontract 1'!$E9,0),(IF(AND('Subcontract 1'!$S$4="Multi",'Subcontract 1'!$R$4="PY"),ROUND('Subcontract 1'!$E9*((1+'Subcontract 1'!$M9)^3)/'W2'!$F$5*'W2'!$F$5,0),(IF(AND('Subcontract 1'!$S$4&lt;&gt;"Multi",'Subcontract 1'!$R$4="FY"),ROUND(((1+'Subcontract 1'!$S$4)^('W2'!$B$20+3)*'W2'!$F$9+(1+'Subcontract 1'!$S$4)^('W2'!$B$20+4)*'W2'!$F$10)/'W2'!$F$5*'Subcontract 1'!$E9,0),ROUND('Subcontract 1'!$E9*((1+'Subcontract 1'!$S$4)^3)/'W2'!$F$5*'W2'!$F$5,0)))))))))</f>
        <v/>
      </c>
      <c r="I329" s="300"/>
      <c r="J329" s="302" t="str">
        <f>IF('W2'!$G$5=0,"",IF($C$4=$D$4,(IF(AND('Subcontract 1'!$S$4="Multi",'Subcontract 1'!$R$4="FY"),ROUND(((1+'Subcontract 1'!$M9)^('W2'!$B$20+3)*'W2'!$G$9+(1+'Subcontract 1'!$M9)^('W2'!$B$20+4)*'W2'!$G$10)/'W2'!$G$5*'Subcontract 1'!$E9,0),(IF(AND('Subcontract 1'!$S$4="Multi",'Subcontract 1'!$R$4="PY"),ROUND('Subcontract 1'!$E9*((1+'Subcontract 1'!$M9)^4)/'W2'!$G$5*'W2'!$G$5,0),(IF(AND('Subcontract 1'!$S$4&lt;&gt;"Multi",'Subcontract 1'!$R$4="FY"),ROUND(((1+'Subcontract 1'!$S$4)^('W2'!$B$20+3)*'W2'!$G$9+(1+'Subcontract 1'!$S$4)^('W2'!$B$20+4)*'W2'!$G$10)/'W2'!$G$5*'Subcontract 1'!$E9,0),ROUND('Subcontract 1'!$E9*((1+'Subcontract 1'!$S$4)^4)/'W2'!$G$5*'W2'!$G$5,0))))))),(IF(AND('Subcontract 1'!$S$4="Multi",'Subcontract 1'!$R$4="FY"),ROUND(((1+'Subcontract 1'!$M9)^('W2'!$B$20+4)*'W2'!$G$9+(1+'Subcontract 1'!$M9)^('W2'!$B$20+5)*'W2'!$G$10)/'W2'!$G$5*'Subcontract 1'!$E9,0),(IF(AND('Subcontract 1'!$S$4="Multi",'Subcontract 1'!$R$4="PY"),ROUND('Subcontract 1'!$E9*((1+'Subcontract 1'!$M9)^4)/'W2'!$G$5*'W2'!$G$5,0),(IF(AND('Subcontract 1'!$S$4&lt;&gt;"Multi",'Subcontract 1'!$R$4="FY"),ROUND(((1+'Subcontract 1'!$S$4)^('W2'!$B$20+4)*'W2'!$G$9+(1+'Subcontract 1'!$S$4)^('W2'!$B$20+5)*'W2'!$G$10)/'W2'!$G$5*'Subcontract 1'!$E9,0),ROUND('Subcontract 1'!$E9*((1+'Subcontract 1'!$S$4)^4)/'W2'!$G$5*'W2'!$G$5,0)))))))))</f>
        <v/>
      </c>
      <c r="K329" s="300"/>
    </row>
    <row r="330" spans="1:11" x14ac:dyDescent="0.2">
      <c r="A330" s="82" t="e">
        <f>#REF!</f>
        <v>#REF!</v>
      </c>
      <c r="B330" s="302">
        <f>IF('W2'!$C$5=0,"",IF(AND('Subcontract 1'!$S$4="Multi",'Subcontract 1'!$R$4="FY"),ROUND(((1+'Subcontract 1'!$M10)^'W2'!$B$20*'W2'!$C$9+(1+'Subcontract 1'!$M10)^('W2'!$B$20+1)*'W2'!$C$10)/('W2'!$C$5)*'Subcontract 1'!$E10,0),(IF(AND('Subcontract 1'!$S$4="Multi",'Subcontract 1'!$R$4="PY"),ROUND('Subcontract 1'!$E10/('W2'!$C$5)*'W2'!$C$5,0),(IF(AND('Subcontract 1'!$S$4&lt;&gt;"Multi",'Subcontract 1'!$R$4="FY"),ROUND(((1+'Subcontract 1'!$S$4)^'W2'!$B$20*'W2'!$C$9+(1+'Subcontract 1'!$S$4)^('W2'!$B$20+1)*'W2'!$C$10)/'W2'!$C$5*'Subcontract 1'!$E10,0),ROUND('Subcontract 1'!$E10/'W2'!$C$5*'W2'!$C$5,0)))))))</f>
        <v>0</v>
      </c>
      <c r="C330" s="300"/>
      <c r="D330" s="302">
        <f>IF('W2'!$D$5=0,"",IF($C$4=$D$4,(IF(AND('Subcontract 1'!$S$4="Multi",'Subcontract 1'!$R$4="FY"),ROUND(((1+'Subcontract 1'!$M10)^('W2'!$B$20)*'W2'!$D$9+(1+'Subcontract 1'!$M10)^('W2'!$B$20+1)*'W2'!$D$10)/'W2'!$D$5*'Subcontract 1'!$E10,0),(IF(AND('Subcontract 1'!$S$4="Multi",'Subcontract 1'!$R$4="PY"),ROUND('Subcontract 1'!$E10*(1+'Subcontract 1'!$M10)/'W2'!$D$5*'W2'!$D$5,0),(IF(AND('Subcontract 1'!$S$4&lt;&gt;"Multi",'Subcontract 1'!$R$4="FY"),ROUND(((1+'Subcontract 1'!$S$4)^('W2'!$B$20)*'W2'!$D$9+(1+'Subcontract 1'!$S$4)^('W2'!$B$20+1)*'W2'!$D$10)/'W2'!$D$5*'Subcontract 1'!$E10,0),ROUND('Subcontract 1'!$E10*(1+'Subcontract 1'!$S$4)/'W2'!$D$5*'W2'!$D$5,0))))))),(IF(AND('Subcontract 1'!$S$4="Multi",'Subcontract 1'!$R$4="FY"),ROUND(((1+'Subcontract 1'!$M10)^('W2'!$B$20+1)*'W2'!$D$9+(1+'Subcontract 1'!$M10)^('W2'!$B$20+2)*'W2'!$D$10)/'W2'!$D$5*'Subcontract 1'!$E10,0),(IF(AND('Subcontract 1'!$S$4="Multi",'Subcontract 1'!$R$4="PY"),ROUND('Subcontract 1'!$E10*(1+'Subcontract 1'!$M10)/'W2'!$D$5*'W2'!$D$5,0),(IF(AND('Subcontract 1'!$S$4&lt;&gt;"Multi",'Subcontract 1'!$R$4="FY"),ROUND(((1+'Subcontract 1'!$S$4)^('W2'!$B$20+1)*'W2'!$D$9+(1+'Subcontract 1'!$S$4)^('W2'!$B$20+2)*'W2'!$D$10)/'W2'!$D$5*'Subcontract 1'!$E10,0),ROUND('Subcontract 1'!$E10*(1+'Subcontract 1'!$S$4)/'W2'!$D$5*'W2'!$D$5,0)))))))))</f>
        <v>0</v>
      </c>
      <c r="E330" s="300"/>
      <c r="F330" s="302" t="str">
        <f>IF('W2'!$E$5=0,"",IF($C$4=$D$4,(IF(AND('Subcontract 1'!$S$4="Multi",'Subcontract 1'!$R$4="FY"),ROUND(((1+'Subcontract 1'!$M10)^('W2'!$B$20+1)*'W2'!$E$9+(1+'Subcontract 1'!$M10)^('W2'!$B$20+3)*'W2'!$E$10)/'W2'!$E$5*'Subcontract 1'!$E10,0),(IF(AND('Subcontract 1'!$S$4="Multi",'Subcontract 1'!$R$4="PY"),ROUND('Subcontract 1'!$E10*((1+'Subcontract 1'!$M10)^2)/'W2'!$E$5*'W2'!$E$5,0),(IF(AND('Subcontract 1'!$S$4&lt;&gt;"Multi",'Subcontract 1'!$R$4="FY"),ROUND(((1+'Subcontract 1'!$S$4)^('W2'!$B$20+1)*'W2'!$E$9+(1+'Subcontract 1'!$S$4)^('W2'!$B$20+2)*'W2'!$E$10)/'W2'!$E$5*'Subcontract 1'!$E10,0),ROUND('Subcontract 1'!$E10*((1+'Subcontract 1'!$S$4)^2)/'W2'!$E$5*'W2'!$E$5,0))))))),(IF(AND('Subcontract 1'!$S$4="Multi",'Subcontract 1'!$R$4="FY"),ROUND(((1+'Subcontract 1'!$M10)^('W2'!$B$20+2)*'W2'!$E$9+(1+'Subcontract 1'!$M10)^('W2'!$B$20+3)*'W2'!$E$10)/'W2'!$E$5*'Subcontract 1'!$E10,0),(IF(AND('Subcontract 1'!$S$4="Multi",'Subcontract 1'!$R$4="PY"),ROUND('Subcontract 1'!$E10*((1+'Subcontract 1'!$M10)^2)/'W2'!$E$5*'W2'!$E$5,0),(IF(AND('Subcontract 1'!$S$4&lt;&gt;"Multi",'Subcontract 1'!$R$4="FY"),ROUND(((1+'Subcontract 1'!$S$4)^('W2'!$B$20+2)*'W2'!$E$9+(1+'Subcontract 1'!$S$4)^('W2'!$B$20+3)*'W2'!$E$10)/'W2'!$E$5*'Subcontract 1'!$E10,0),ROUND('Subcontract 1'!$E10*((1+'Subcontract 1'!$S$4)^2)/'W2'!$E$5*'W2'!$E$5,0)))))))))</f>
        <v/>
      </c>
      <c r="G330" s="300"/>
      <c r="H330" s="302" t="str">
        <f>IF('W2'!$F$5=0,"",IF($C$4=$D$4,(IF(AND('Subcontract 1'!$S$4="Multi",'Subcontract 1'!$R$4="FY"),ROUND(((1+'Subcontract 1'!$M10)^('W2'!$B$20+2)*'W2'!$F$9+(1+'Subcontract 1'!$M10)^('W2'!$B$20+3)*'W2'!$F$10)/'W2'!$F$5*'Subcontract 1'!$E10,0),(IF(AND('Subcontract 1'!$S$4="Multi",'Subcontract 1'!$R$4="PY"),ROUND('Subcontract 1'!$E10*((1+'Subcontract 1'!$M10)^3)/'W2'!$F$5*'W2'!$F$5,0),(IF(AND('Subcontract 1'!$S$4&lt;&gt;"Multi",'Subcontract 1'!$R$4="FY"),ROUND(((1+'Subcontract 1'!$S$4)^('W2'!$B$20+2)*'W2'!$F$9+(1+'Subcontract 1'!$S$4)^('W2'!$B$20+3)*'W2'!$F$10)/'W2'!$F$5*'Subcontract 1'!$E10,0),ROUND('Subcontract 1'!$E10*((1+'Subcontract 1'!$S$4)^3)/'W2'!$F$5*'W2'!$F$5,0))))))),(IF(AND('Subcontract 1'!$S$4="Multi",'Subcontract 1'!$R$4="FY"),ROUND(((1+'Subcontract 1'!$M10)^('W2'!$B$20+3)*'W2'!$F$9+(1+'Subcontract 1'!$M10)^('W2'!$B$20+4)*'W2'!$F$10)/'W2'!$F$5*'Subcontract 1'!$E10,0),(IF(AND('Subcontract 1'!$S$4="Multi",'Subcontract 1'!$R$4="PY"),ROUND('Subcontract 1'!$E10*((1+'Subcontract 1'!$M10)^3)/'W2'!$F$5*'W2'!$F$5,0),(IF(AND('Subcontract 1'!$S$4&lt;&gt;"Multi",'Subcontract 1'!$R$4="FY"),ROUND(((1+'Subcontract 1'!$S$4)^('W2'!$B$20+3)*'W2'!$F$9+(1+'Subcontract 1'!$S$4)^('W2'!$B$20+4)*'W2'!$F$10)/'W2'!$F$5*'Subcontract 1'!$E10,0),ROUND('Subcontract 1'!$E10*((1+'Subcontract 1'!$S$4)^3)/'W2'!$F$5*'W2'!$F$5,0)))))))))</f>
        <v/>
      </c>
      <c r="I330" s="300"/>
      <c r="J330" s="302" t="str">
        <f>IF('W2'!$G$5=0,"",IF($C$4=$D$4,(IF(AND('Subcontract 1'!$S$4="Multi",'Subcontract 1'!$R$4="FY"),ROUND(((1+'Subcontract 1'!$M10)^('W2'!$B$20+3)*'W2'!$G$9+(1+'Subcontract 1'!$M10)^('W2'!$B$20+4)*'W2'!$G$10)/'W2'!$G$5*'Subcontract 1'!$E10,0),(IF(AND('Subcontract 1'!$S$4="Multi",'Subcontract 1'!$R$4="PY"),ROUND('Subcontract 1'!$E10*((1+'Subcontract 1'!$M10)^4)/'W2'!$G$5*'W2'!$G$5,0),(IF(AND('Subcontract 1'!$S$4&lt;&gt;"Multi",'Subcontract 1'!$R$4="FY"),ROUND(((1+'Subcontract 1'!$S$4)^('W2'!$B$20+3)*'W2'!$G$9+(1+'Subcontract 1'!$S$4)^('W2'!$B$20+4)*'W2'!$G$10)/'W2'!$G$5*'Subcontract 1'!$E10,0),ROUND('Subcontract 1'!$E10*((1+'Subcontract 1'!$S$4)^4)/'W2'!$G$5*'W2'!$G$5,0))))))),(IF(AND('Subcontract 1'!$S$4="Multi",'Subcontract 1'!$R$4="FY"),ROUND(((1+'Subcontract 1'!$M10)^('W2'!$B$20+4)*'W2'!$G$9+(1+'Subcontract 1'!$M10)^('W2'!$B$20+5)*'W2'!$G$10)/'W2'!$G$5*'Subcontract 1'!$E10,0),(IF(AND('Subcontract 1'!$S$4="Multi",'Subcontract 1'!$R$4="PY"),ROUND('Subcontract 1'!$E10*((1+'Subcontract 1'!$M10)^4)/'W2'!$G$5*'W2'!$G$5,0),(IF(AND('Subcontract 1'!$S$4&lt;&gt;"Multi",'Subcontract 1'!$R$4="FY"),ROUND(((1+'Subcontract 1'!$S$4)^('W2'!$B$20+4)*'W2'!$G$9+(1+'Subcontract 1'!$S$4)^('W2'!$B$20+5)*'W2'!$G$10)/'W2'!$G$5*'Subcontract 1'!$E10,0),ROUND('Subcontract 1'!$E10*((1+'Subcontract 1'!$S$4)^4)/'W2'!$G$5*'W2'!$G$5,0)))))))))</f>
        <v/>
      </c>
      <c r="K330" s="300"/>
    </row>
    <row r="331" spans="1:11" x14ac:dyDescent="0.2">
      <c r="A331" s="82" t="e">
        <f>#REF!</f>
        <v>#REF!</v>
      </c>
      <c r="B331" s="302">
        <f>IF('W2'!$C$5=0,"",IF(AND('Subcontract 1'!$S$4="Multi",'Subcontract 1'!$R$4="FY"),ROUND(((1+'Subcontract 1'!$M11)^'W2'!$B$20*'W2'!$C$9+(1+'Subcontract 1'!$M11)^('W2'!$B$20+1)*'W2'!$C$10)/('W2'!$C$5)*'Subcontract 1'!$E11,0),(IF(AND('Subcontract 1'!$S$4="Multi",'Subcontract 1'!$R$4="PY"),ROUND('Subcontract 1'!$E11/('W2'!$C$5)*'W2'!$C$5,0),(IF(AND('Subcontract 1'!$S$4&lt;&gt;"Multi",'Subcontract 1'!$R$4="FY"),ROUND(((1+'Subcontract 1'!$S$4)^'W2'!$B$20*'W2'!$C$9+(1+'Subcontract 1'!$S$4)^('W2'!$B$20+1)*'W2'!$C$10)/'W2'!$C$5*'Subcontract 1'!$E11,0),ROUND('Subcontract 1'!$E11/'W2'!$C$5*'W2'!$C$5,0)))))))</f>
        <v>0</v>
      </c>
      <c r="C331" s="300"/>
      <c r="D331" s="302">
        <f>IF('W2'!$D$5=0,"",IF($C$4=$D$4,(IF(AND('Subcontract 1'!$S$4="Multi",'Subcontract 1'!$R$4="FY"),ROUND(((1+'Subcontract 1'!$M11)^('W2'!$B$20)*'W2'!$D$9+(1+'Subcontract 1'!$M11)^('W2'!$B$20+1)*'W2'!$D$10)/'W2'!$D$5*'Subcontract 1'!$E11,0),(IF(AND('Subcontract 1'!$S$4="Multi",'Subcontract 1'!$R$4="PY"),ROUND('Subcontract 1'!$E11*(1+'Subcontract 1'!$M11)/'W2'!$D$5*'W2'!$D$5,0),(IF(AND('Subcontract 1'!$S$4&lt;&gt;"Multi",'Subcontract 1'!$R$4="FY"),ROUND(((1+'Subcontract 1'!$S$4)^('W2'!$B$20)*'W2'!$D$9+(1+'Subcontract 1'!$S$4)^('W2'!$B$20+1)*'W2'!$D$10)/'W2'!$D$5*'Subcontract 1'!$E11,0),ROUND('Subcontract 1'!$E11*(1+'Subcontract 1'!$S$4)/'W2'!$D$5*'W2'!$D$5,0))))))),(IF(AND('Subcontract 1'!$S$4="Multi",'Subcontract 1'!$R$4="FY"),ROUND(((1+'Subcontract 1'!$M11)^('W2'!$B$20+1)*'W2'!$D$9+(1+'Subcontract 1'!$M11)^('W2'!$B$20+2)*'W2'!$D$10)/'W2'!$D$5*'Subcontract 1'!$E11,0),(IF(AND('Subcontract 1'!$S$4="Multi",'Subcontract 1'!$R$4="PY"),ROUND('Subcontract 1'!$E11*(1+'Subcontract 1'!$M11)/'W2'!$D$5*'W2'!$D$5,0),(IF(AND('Subcontract 1'!$S$4&lt;&gt;"Multi",'Subcontract 1'!$R$4="FY"),ROUND(((1+'Subcontract 1'!$S$4)^('W2'!$B$20+1)*'W2'!$D$9+(1+'Subcontract 1'!$S$4)^('W2'!$B$20+2)*'W2'!$D$10)/'W2'!$D$5*'Subcontract 1'!$E11,0),ROUND('Subcontract 1'!$E11*(1+'Subcontract 1'!$S$4)/'W2'!$D$5*'W2'!$D$5,0)))))))))</f>
        <v>0</v>
      </c>
      <c r="E331" s="300"/>
      <c r="F331" s="302" t="str">
        <f>IF('W2'!$E$5=0,"",IF($C$4=$D$4,(IF(AND('Subcontract 1'!$S$4="Multi",'Subcontract 1'!$R$4="FY"),ROUND(((1+'Subcontract 1'!$M11)^('W2'!$B$20+1)*'W2'!$E$9+(1+'Subcontract 1'!$M11)^('W2'!$B$20+3)*'W2'!$E$10)/'W2'!$E$5*'Subcontract 1'!$E11,0),(IF(AND('Subcontract 1'!$S$4="Multi",'Subcontract 1'!$R$4="PY"),ROUND('Subcontract 1'!$E11*((1+'Subcontract 1'!$M11)^2)/'W2'!$E$5*'W2'!$E$5,0),(IF(AND('Subcontract 1'!$S$4&lt;&gt;"Multi",'Subcontract 1'!$R$4="FY"),ROUND(((1+'Subcontract 1'!$S$4)^('W2'!$B$20+1)*'W2'!$E$9+(1+'Subcontract 1'!$S$4)^('W2'!$B$20+2)*'W2'!$E$10)/'W2'!$E$5*'Subcontract 1'!$E11,0),ROUND('Subcontract 1'!$E11*((1+'Subcontract 1'!$S$4)^2)/'W2'!$E$5*'W2'!$E$5,0))))))),(IF(AND('Subcontract 1'!$S$4="Multi",'Subcontract 1'!$R$4="FY"),ROUND(((1+'Subcontract 1'!$M11)^('W2'!$B$20+2)*'W2'!$E$9+(1+'Subcontract 1'!$M11)^('W2'!$B$20+3)*'W2'!$E$10)/'W2'!$E$5*'Subcontract 1'!$E11,0),(IF(AND('Subcontract 1'!$S$4="Multi",'Subcontract 1'!$R$4="PY"),ROUND('Subcontract 1'!$E11*((1+'Subcontract 1'!$M11)^2)/'W2'!$E$5*'W2'!$E$5,0),(IF(AND('Subcontract 1'!$S$4&lt;&gt;"Multi",'Subcontract 1'!$R$4="FY"),ROUND(((1+'Subcontract 1'!$S$4)^('W2'!$B$20+2)*'W2'!$E$9+(1+'Subcontract 1'!$S$4)^('W2'!$B$20+3)*'W2'!$E$10)/'W2'!$E$5*'Subcontract 1'!$E11,0),ROUND('Subcontract 1'!$E11*((1+'Subcontract 1'!$S$4)^2)/'W2'!$E$5*'W2'!$E$5,0)))))))))</f>
        <v/>
      </c>
      <c r="G331" s="300"/>
      <c r="H331" s="302" t="str">
        <f>IF('W2'!$F$5=0,"",IF($C$4=$D$4,(IF(AND('Subcontract 1'!$S$4="Multi",'Subcontract 1'!$R$4="FY"),ROUND(((1+'Subcontract 1'!$M11)^('W2'!$B$20+2)*'W2'!$F$9+(1+'Subcontract 1'!$M11)^('W2'!$B$20+3)*'W2'!$F$10)/'W2'!$F$5*'Subcontract 1'!$E11,0),(IF(AND('Subcontract 1'!$S$4="Multi",'Subcontract 1'!$R$4="PY"),ROUND('Subcontract 1'!$E11*((1+'Subcontract 1'!$M11)^3)/'W2'!$F$5*'W2'!$F$5,0),(IF(AND('Subcontract 1'!$S$4&lt;&gt;"Multi",'Subcontract 1'!$R$4="FY"),ROUND(((1+'Subcontract 1'!$S$4)^('W2'!$B$20+2)*'W2'!$F$9+(1+'Subcontract 1'!$S$4)^('W2'!$B$20+3)*'W2'!$F$10)/'W2'!$F$5*'Subcontract 1'!$E11,0),ROUND('Subcontract 1'!$E11*((1+'Subcontract 1'!$S$4)^3)/'W2'!$F$5*'W2'!$F$5,0))))))),(IF(AND('Subcontract 1'!$S$4="Multi",'Subcontract 1'!$R$4="FY"),ROUND(((1+'Subcontract 1'!$M11)^('W2'!$B$20+3)*'W2'!$F$9+(1+'Subcontract 1'!$M11)^('W2'!$B$20+4)*'W2'!$F$10)/'W2'!$F$5*'Subcontract 1'!$E11,0),(IF(AND('Subcontract 1'!$S$4="Multi",'Subcontract 1'!$R$4="PY"),ROUND('Subcontract 1'!$E11*((1+'Subcontract 1'!$M11)^3)/'W2'!$F$5*'W2'!$F$5,0),(IF(AND('Subcontract 1'!$S$4&lt;&gt;"Multi",'Subcontract 1'!$R$4="FY"),ROUND(((1+'Subcontract 1'!$S$4)^('W2'!$B$20+3)*'W2'!$F$9+(1+'Subcontract 1'!$S$4)^('W2'!$B$20+4)*'W2'!$F$10)/'W2'!$F$5*'Subcontract 1'!$E11,0),ROUND('Subcontract 1'!$E11*((1+'Subcontract 1'!$S$4)^3)/'W2'!$F$5*'W2'!$F$5,0)))))))))</f>
        <v/>
      </c>
      <c r="I331" s="300"/>
      <c r="J331" s="302" t="str">
        <f>IF('W2'!$G$5=0,"",IF($C$4=$D$4,(IF(AND('Subcontract 1'!$S$4="Multi",'Subcontract 1'!$R$4="FY"),ROUND(((1+'Subcontract 1'!$M11)^('W2'!$B$20+3)*'W2'!$G$9+(1+'Subcontract 1'!$M11)^('W2'!$B$20+4)*'W2'!$G$10)/'W2'!$G$5*'Subcontract 1'!$E11,0),(IF(AND('Subcontract 1'!$S$4="Multi",'Subcontract 1'!$R$4="PY"),ROUND('Subcontract 1'!$E11*((1+'Subcontract 1'!$M11)^4)/'W2'!$G$5*'W2'!$G$5,0),(IF(AND('Subcontract 1'!$S$4&lt;&gt;"Multi",'Subcontract 1'!$R$4="FY"),ROUND(((1+'Subcontract 1'!$S$4)^('W2'!$B$20+3)*'W2'!$G$9+(1+'Subcontract 1'!$S$4)^('W2'!$B$20+4)*'W2'!$G$10)/'W2'!$G$5*'Subcontract 1'!$E11,0),ROUND('Subcontract 1'!$E11*((1+'Subcontract 1'!$S$4)^4)/'W2'!$G$5*'W2'!$G$5,0))))))),(IF(AND('Subcontract 1'!$S$4="Multi",'Subcontract 1'!$R$4="FY"),ROUND(((1+'Subcontract 1'!$M11)^('W2'!$B$20+4)*'W2'!$G$9+(1+'Subcontract 1'!$M11)^('W2'!$B$20+5)*'W2'!$G$10)/'W2'!$G$5*'Subcontract 1'!$E11,0),(IF(AND('Subcontract 1'!$S$4="Multi",'Subcontract 1'!$R$4="PY"),ROUND('Subcontract 1'!$E11*((1+'Subcontract 1'!$M11)^4)/'W2'!$G$5*'W2'!$G$5,0),(IF(AND('Subcontract 1'!$S$4&lt;&gt;"Multi",'Subcontract 1'!$R$4="FY"),ROUND(((1+'Subcontract 1'!$S$4)^('W2'!$B$20+4)*'W2'!$G$9+(1+'Subcontract 1'!$S$4)^('W2'!$B$20+5)*'W2'!$G$10)/'W2'!$G$5*'Subcontract 1'!$E11,0),ROUND('Subcontract 1'!$E11*((1+'Subcontract 1'!$S$4)^4)/'W2'!$G$5*'W2'!$G$5,0)))))))))</f>
        <v/>
      </c>
      <c r="K331" s="300"/>
    </row>
    <row r="332" spans="1:11" x14ac:dyDescent="0.2">
      <c r="A332" s="82" t="e">
        <f>#REF!</f>
        <v>#REF!</v>
      </c>
      <c r="B332" s="302">
        <f>IF('W2'!$C$5=0,"",IF(AND('Subcontract 1'!$S$4="Multi",'Subcontract 1'!$R$4="FY"),ROUND(((1+'Subcontract 1'!$M12)^'W2'!$B$20*'W2'!$C$9+(1+'Subcontract 1'!$M12)^('W2'!$B$20+1)*'W2'!$C$10)/('W2'!$C$5)*'Subcontract 1'!$E12,0),(IF(AND('Subcontract 1'!$S$4="Multi",'Subcontract 1'!$R$4="PY"),ROUND('Subcontract 1'!$E12/('W2'!$C$5)*'W2'!$C$5,0),(IF(AND('Subcontract 1'!$S$4&lt;&gt;"Multi",'Subcontract 1'!$R$4="FY"),ROUND(((1+'Subcontract 1'!$S$4)^'W2'!$B$20*'W2'!$C$9+(1+'Subcontract 1'!$S$4)^('W2'!$B$20+1)*'W2'!$C$10)/'W2'!$C$5*'Subcontract 1'!$E12,0),ROUND('Subcontract 1'!$E12/'W2'!$C$5*'W2'!$C$5,0)))))))</f>
        <v>0</v>
      </c>
      <c r="C332" s="300"/>
      <c r="D332" s="302">
        <f>IF('W2'!$D$5=0,"",IF($C$4=$D$4,(IF(AND('Subcontract 1'!$S$4="Multi",'Subcontract 1'!$R$4="FY"),ROUND(((1+'Subcontract 1'!$M12)^('W2'!$B$20)*'W2'!$D$9+(1+'Subcontract 1'!$M12)^('W2'!$B$20+1)*'W2'!$D$10)/'W2'!$D$5*'Subcontract 1'!$E12,0),(IF(AND('Subcontract 1'!$S$4="Multi",'Subcontract 1'!$R$4="PY"),ROUND('Subcontract 1'!$E12*(1+'Subcontract 1'!$M12)/'W2'!$D$5*'W2'!$D$5,0),(IF(AND('Subcontract 1'!$S$4&lt;&gt;"Multi",'Subcontract 1'!$R$4="FY"),ROUND(((1+'Subcontract 1'!$S$4)^('W2'!$B$20)*'W2'!$D$9+(1+'Subcontract 1'!$S$4)^('W2'!$B$20+1)*'W2'!$D$10)/'W2'!$D$5*'Subcontract 1'!$E12,0),ROUND('Subcontract 1'!$E12*(1+'Subcontract 1'!$S$4)/'W2'!$D$5*'W2'!$D$5,0))))))),(IF(AND('Subcontract 1'!$S$4="Multi",'Subcontract 1'!$R$4="FY"),ROUND(((1+'Subcontract 1'!$M12)^('W2'!$B$20+1)*'W2'!$D$9+(1+'Subcontract 1'!$M12)^('W2'!$B$20+2)*'W2'!$D$10)/'W2'!$D$5*'Subcontract 1'!$E12,0),(IF(AND('Subcontract 1'!$S$4="Multi",'Subcontract 1'!$R$4="PY"),ROUND('Subcontract 1'!$E12*(1+'Subcontract 1'!$M12)/'W2'!$D$5*'W2'!$D$5,0),(IF(AND('Subcontract 1'!$S$4&lt;&gt;"Multi",'Subcontract 1'!$R$4="FY"),ROUND(((1+'Subcontract 1'!$S$4)^('W2'!$B$20+1)*'W2'!$D$9+(1+'Subcontract 1'!$S$4)^('W2'!$B$20+2)*'W2'!$D$10)/'W2'!$D$5*'Subcontract 1'!$E12,0),ROUND('Subcontract 1'!$E12*(1+'Subcontract 1'!$S$4)/'W2'!$D$5*'W2'!$D$5,0)))))))))</f>
        <v>0</v>
      </c>
      <c r="E332" s="300"/>
      <c r="F332" s="302" t="str">
        <f>IF('W2'!$E$5=0,"",IF($C$4=$D$4,(IF(AND('Subcontract 1'!$S$4="Multi",'Subcontract 1'!$R$4="FY"),ROUND(((1+'Subcontract 1'!$M12)^('W2'!$B$20+1)*'W2'!$E$9+(1+'Subcontract 1'!$M12)^('W2'!$B$20+3)*'W2'!$E$10)/'W2'!$E$5*'Subcontract 1'!$E12,0),(IF(AND('Subcontract 1'!$S$4="Multi",'Subcontract 1'!$R$4="PY"),ROUND('Subcontract 1'!$E12*((1+'Subcontract 1'!$M12)^2)/'W2'!$E$5*'W2'!$E$5,0),(IF(AND('Subcontract 1'!$S$4&lt;&gt;"Multi",'Subcontract 1'!$R$4="FY"),ROUND(((1+'Subcontract 1'!$S$4)^('W2'!$B$20+1)*'W2'!$E$9+(1+'Subcontract 1'!$S$4)^('W2'!$B$20+2)*'W2'!$E$10)/'W2'!$E$5*'Subcontract 1'!$E12,0),ROUND('Subcontract 1'!$E12*((1+'Subcontract 1'!$S$4)^2)/'W2'!$E$5*'W2'!$E$5,0))))))),(IF(AND('Subcontract 1'!$S$4="Multi",'Subcontract 1'!$R$4="FY"),ROUND(((1+'Subcontract 1'!$M12)^('W2'!$B$20+2)*'W2'!$E$9+(1+'Subcontract 1'!$M12)^('W2'!$B$20+3)*'W2'!$E$10)/'W2'!$E$5*'Subcontract 1'!$E12,0),(IF(AND('Subcontract 1'!$S$4="Multi",'Subcontract 1'!$R$4="PY"),ROUND('Subcontract 1'!$E12*((1+'Subcontract 1'!$M12)^2)/'W2'!$E$5*'W2'!$E$5,0),(IF(AND('Subcontract 1'!$S$4&lt;&gt;"Multi",'Subcontract 1'!$R$4="FY"),ROUND(((1+'Subcontract 1'!$S$4)^('W2'!$B$20+2)*'W2'!$E$9+(1+'Subcontract 1'!$S$4)^('W2'!$B$20+3)*'W2'!$E$10)/'W2'!$E$5*'Subcontract 1'!$E12,0),ROUND('Subcontract 1'!$E12*((1+'Subcontract 1'!$S$4)^2)/'W2'!$E$5*'W2'!$E$5,0)))))))))</f>
        <v/>
      </c>
      <c r="G332" s="300"/>
      <c r="H332" s="302" t="str">
        <f>IF('W2'!$F$5=0,"",IF($C$4=$D$4,(IF(AND('Subcontract 1'!$S$4="Multi",'Subcontract 1'!$R$4="FY"),ROUND(((1+'Subcontract 1'!$M12)^('W2'!$B$20+2)*'W2'!$F$9+(1+'Subcontract 1'!$M12)^('W2'!$B$20+3)*'W2'!$F$10)/'W2'!$F$5*'Subcontract 1'!$E12,0),(IF(AND('Subcontract 1'!$S$4="Multi",'Subcontract 1'!$R$4="PY"),ROUND('Subcontract 1'!$E12*((1+'Subcontract 1'!$M12)^3)/'W2'!$F$5*'W2'!$F$5,0),(IF(AND('Subcontract 1'!$S$4&lt;&gt;"Multi",'Subcontract 1'!$R$4="FY"),ROUND(((1+'Subcontract 1'!$S$4)^('W2'!$B$20+2)*'W2'!$F$9+(1+'Subcontract 1'!$S$4)^('W2'!$B$20+3)*'W2'!$F$10)/'W2'!$F$5*'Subcontract 1'!$E12,0),ROUND('Subcontract 1'!$E12*((1+'Subcontract 1'!$S$4)^3)/'W2'!$F$5*'W2'!$F$5,0))))))),(IF(AND('Subcontract 1'!$S$4="Multi",'Subcontract 1'!$R$4="FY"),ROUND(((1+'Subcontract 1'!$M12)^('W2'!$B$20+3)*'W2'!$F$9+(1+'Subcontract 1'!$M12)^('W2'!$B$20+4)*'W2'!$F$10)/'W2'!$F$5*'Subcontract 1'!$E12,0),(IF(AND('Subcontract 1'!$S$4="Multi",'Subcontract 1'!$R$4="PY"),ROUND('Subcontract 1'!$E12*((1+'Subcontract 1'!$M12)^3)/'W2'!$F$5*'W2'!$F$5,0),(IF(AND('Subcontract 1'!$S$4&lt;&gt;"Multi",'Subcontract 1'!$R$4="FY"),ROUND(((1+'Subcontract 1'!$S$4)^('W2'!$B$20+3)*'W2'!$F$9+(1+'Subcontract 1'!$S$4)^('W2'!$B$20+4)*'W2'!$F$10)/'W2'!$F$5*'Subcontract 1'!$E12,0),ROUND('Subcontract 1'!$E12*((1+'Subcontract 1'!$S$4)^3)/'W2'!$F$5*'W2'!$F$5,0)))))))))</f>
        <v/>
      </c>
      <c r="I332" s="300"/>
      <c r="J332" s="302" t="str">
        <f>IF('W2'!$G$5=0,"",IF($C$4=$D$4,(IF(AND('Subcontract 1'!$S$4="Multi",'Subcontract 1'!$R$4="FY"),ROUND(((1+'Subcontract 1'!$M12)^('W2'!$B$20+3)*'W2'!$G$9+(1+'Subcontract 1'!$M12)^('W2'!$B$20+4)*'W2'!$G$10)/'W2'!$G$5*'Subcontract 1'!$E12,0),(IF(AND('Subcontract 1'!$S$4="Multi",'Subcontract 1'!$R$4="PY"),ROUND('Subcontract 1'!$E12*((1+'Subcontract 1'!$M12)^4)/'W2'!$G$5*'W2'!$G$5,0),(IF(AND('Subcontract 1'!$S$4&lt;&gt;"Multi",'Subcontract 1'!$R$4="FY"),ROUND(((1+'Subcontract 1'!$S$4)^('W2'!$B$20+3)*'W2'!$G$9+(1+'Subcontract 1'!$S$4)^('W2'!$B$20+4)*'W2'!$G$10)/'W2'!$G$5*'Subcontract 1'!$E12,0),ROUND('Subcontract 1'!$E12*((1+'Subcontract 1'!$S$4)^4)/'W2'!$G$5*'W2'!$G$5,0))))))),(IF(AND('Subcontract 1'!$S$4="Multi",'Subcontract 1'!$R$4="FY"),ROUND(((1+'Subcontract 1'!$M12)^('W2'!$B$20+4)*'W2'!$G$9+(1+'Subcontract 1'!$M12)^('W2'!$B$20+5)*'W2'!$G$10)/'W2'!$G$5*'Subcontract 1'!$E12,0),(IF(AND('Subcontract 1'!$S$4="Multi",'Subcontract 1'!$R$4="PY"),ROUND('Subcontract 1'!$E12*((1+'Subcontract 1'!$M12)^4)/'W2'!$G$5*'W2'!$G$5,0),(IF(AND('Subcontract 1'!$S$4&lt;&gt;"Multi",'Subcontract 1'!$R$4="FY"),ROUND(((1+'Subcontract 1'!$S$4)^('W2'!$B$20+4)*'W2'!$G$9+(1+'Subcontract 1'!$S$4)^('W2'!$B$20+5)*'W2'!$G$10)/'W2'!$G$5*'Subcontract 1'!$E12,0),ROUND('Subcontract 1'!$E12*((1+'Subcontract 1'!$S$4)^4)/'W2'!$G$5*'W2'!$G$5,0)))))))))</f>
        <v/>
      </c>
      <c r="K332" s="300"/>
    </row>
    <row r="333" spans="1:11" x14ac:dyDescent="0.2">
      <c r="A333" s="82" t="e">
        <f>#REF!</f>
        <v>#REF!</v>
      </c>
      <c r="B333" s="302">
        <f>IF('W2'!$C$5=0,"",IF(AND('Subcontract 1'!$S$4="Multi",'Subcontract 1'!$R$4="FY"),ROUND(((1+'Subcontract 1'!$M13)^'W2'!$B$20*'W2'!$C$9+(1+'Subcontract 1'!$M13)^('W2'!$B$20+1)*'W2'!$C$10)/('W2'!$C$5)*'Subcontract 1'!$E13,0),(IF(AND('Subcontract 1'!$S$4="Multi",'Subcontract 1'!$R$4="PY"),ROUND('Subcontract 1'!$E13/('W2'!$C$5)*'W2'!$C$5,0),(IF(AND('Subcontract 1'!$S$4&lt;&gt;"Multi",'Subcontract 1'!$R$4="FY"),ROUND(((1+'Subcontract 1'!$S$4)^'W2'!$B$20*'W2'!$C$9+(1+'Subcontract 1'!$S$4)^('W2'!$B$20+1)*'W2'!$C$10)/'W2'!$C$5*'Subcontract 1'!$E13,0),ROUND('Subcontract 1'!$E13/'W2'!$C$5*'W2'!$C$5,0)))))))</f>
        <v>0</v>
      </c>
      <c r="C333" s="300"/>
      <c r="D333" s="302">
        <f>IF('W2'!$D$5=0,"",IF($C$4=$D$4,(IF(AND('Subcontract 1'!$S$4="Multi",'Subcontract 1'!$R$4="FY"),ROUND(((1+'Subcontract 1'!$M13)^('W2'!$B$20)*'W2'!$D$9+(1+'Subcontract 1'!$M13)^('W2'!$B$20+1)*'W2'!$D$10)/'W2'!$D$5*'Subcontract 1'!$E13,0),(IF(AND('Subcontract 1'!$S$4="Multi",'Subcontract 1'!$R$4="PY"),ROUND('Subcontract 1'!$E13*(1+'Subcontract 1'!$M13)/'W2'!$D$5*'W2'!$D$5,0),(IF(AND('Subcontract 1'!$S$4&lt;&gt;"Multi",'Subcontract 1'!$R$4="FY"),ROUND(((1+'Subcontract 1'!$S$4)^('W2'!$B$20)*'W2'!$D$9+(1+'Subcontract 1'!$S$4)^('W2'!$B$20+1)*'W2'!$D$10)/'W2'!$D$5*'Subcontract 1'!$E13,0),ROUND('Subcontract 1'!$E13*(1+'Subcontract 1'!$S$4)/'W2'!$D$5*'W2'!$D$5,0))))))),(IF(AND('Subcontract 1'!$S$4="Multi",'Subcontract 1'!$R$4="FY"),ROUND(((1+'Subcontract 1'!$M13)^('W2'!$B$20+1)*'W2'!$D$9+(1+'Subcontract 1'!$M13)^('W2'!$B$20+2)*'W2'!$D$10)/'W2'!$D$5*'Subcontract 1'!$E13,0),(IF(AND('Subcontract 1'!$S$4="Multi",'Subcontract 1'!$R$4="PY"),ROUND('Subcontract 1'!$E13*(1+'Subcontract 1'!$M13)/'W2'!$D$5*'W2'!$D$5,0),(IF(AND('Subcontract 1'!$S$4&lt;&gt;"Multi",'Subcontract 1'!$R$4="FY"),ROUND(((1+'Subcontract 1'!$S$4)^('W2'!$B$20+1)*'W2'!$D$9+(1+'Subcontract 1'!$S$4)^('W2'!$B$20+2)*'W2'!$D$10)/'W2'!$D$5*'Subcontract 1'!$E13,0),ROUND('Subcontract 1'!$E13*(1+'Subcontract 1'!$S$4)/'W2'!$D$5*'W2'!$D$5,0)))))))))</f>
        <v>0</v>
      </c>
      <c r="E333" s="300"/>
      <c r="F333" s="302" t="str">
        <f>IF('W2'!$E$5=0,"",IF($C$4=$D$4,(IF(AND('Subcontract 1'!$S$4="Multi",'Subcontract 1'!$R$4="FY"),ROUND(((1+'Subcontract 1'!$M13)^('W2'!$B$20+1)*'W2'!$E$9+(1+'Subcontract 1'!$M13)^('W2'!$B$20+3)*'W2'!$E$10)/'W2'!$E$5*'Subcontract 1'!$E13,0),(IF(AND('Subcontract 1'!$S$4="Multi",'Subcontract 1'!$R$4="PY"),ROUND('Subcontract 1'!$E13*((1+'Subcontract 1'!$M13)^2)/'W2'!$E$5*'W2'!$E$5,0),(IF(AND('Subcontract 1'!$S$4&lt;&gt;"Multi",'Subcontract 1'!$R$4="FY"),ROUND(((1+'Subcontract 1'!$S$4)^('W2'!$B$20+1)*'W2'!$E$9+(1+'Subcontract 1'!$S$4)^('W2'!$B$20+2)*'W2'!$E$10)/'W2'!$E$5*'Subcontract 1'!$E13,0),ROUND('Subcontract 1'!$E13*((1+'Subcontract 1'!$S$4)^2)/'W2'!$E$5*'W2'!$E$5,0))))))),(IF(AND('Subcontract 1'!$S$4="Multi",'Subcontract 1'!$R$4="FY"),ROUND(((1+'Subcontract 1'!$M13)^('W2'!$B$20+2)*'W2'!$E$9+(1+'Subcontract 1'!$M13)^('W2'!$B$20+3)*'W2'!$E$10)/'W2'!$E$5*'Subcontract 1'!$E13,0),(IF(AND('Subcontract 1'!$S$4="Multi",'Subcontract 1'!$R$4="PY"),ROUND('Subcontract 1'!$E13*((1+'Subcontract 1'!$M13)^2)/'W2'!$E$5*'W2'!$E$5,0),(IF(AND('Subcontract 1'!$S$4&lt;&gt;"Multi",'Subcontract 1'!$R$4="FY"),ROUND(((1+'Subcontract 1'!$S$4)^('W2'!$B$20+2)*'W2'!$E$9+(1+'Subcontract 1'!$S$4)^('W2'!$B$20+3)*'W2'!$E$10)/'W2'!$E$5*'Subcontract 1'!$E13,0),ROUND('Subcontract 1'!$E13*((1+'Subcontract 1'!$S$4)^2)/'W2'!$E$5*'W2'!$E$5,0)))))))))</f>
        <v/>
      </c>
      <c r="G333" s="300"/>
      <c r="H333" s="302" t="str">
        <f>IF('W2'!$F$5=0,"",IF($C$4=$D$4,(IF(AND('Subcontract 1'!$S$4="Multi",'Subcontract 1'!$R$4="FY"),ROUND(((1+'Subcontract 1'!$M13)^('W2'!$B$20+2)*'W2'!$F$9+(1+'Subcontract 1'!$M13)^('W2'!$B$20+3)*'W2'!$F$10)/'W2'!$F$5*'Subcontract 1'!$E13,0),(IF(AND('Subcontract 1'!$S$4="Multi",'Subcontract 1'!$R$4="PY"),ROUND('Subcontract 1'!$E13*((1+'Subcontract 1'!$M13)^3)/'W2'!$F$5*'W2'!$F$5,0),(IF(AND('Subcontract 1'!$S$4&lt;&gt;"Multi",'Subcontract 1'!$R$4="FY"),ROUND(((1+'Subcontract 1'!$S$4)^('W2'!$B$20+2)*'W2'!$F$9+(1+'Subcontract 1'!$S$4)^('W2'!$B$20+3)*'W2'!$F$10)/'W2'!$F$5*'Subcontract 1'!$E13,0),ROUND('Subcontract 1'!$E13*((1+'Subcontract 1'!$S$4)^3)/'W2'!$F$5*'W2'!$F$5,0))))))),(IF(AND('Subcontract 1'!$S$4="Multi",'Subcontract 1'!$R$4="FY"),ROUND(((1+'Subcontract 1'!$M13)^('W2'!$B$20+3)*'W2'!$F$9+(1+'Subcontract 1'!$M13)^('W2'!$B$20+4)*'W2'!$F$10)/'W2'!$F$5*'Subcontract 1'!$E13,0),(IF(AND('Subcontract 1'!$S$4="Multi",'Subcontract 1'!$R$4="PY"),ROUND('Subcontract 1'!$E13*((1+'Subcontract 1'!$M13)^3)/'W2'!$F$5*'W2'!$F$5,0),(IF(AND('Subcontract 1'!$S$4&lt;&gt;"Multi",'Subcontract 1'!$R$4="FY"),ROUND(((1+'Subcontract 1'!$S$4)^('W2'!$B$20+3)*'W2'!$F$9+(1+'Subcontract 1'!$S$4)^('W2'!$B$20+4)*'W2'!$F$10)/'W2'!$F$5*'Subcontract 1'!$E13,0),ROUND('Subcontract 1'!$E13*((1+'Subcontract 1'!$S$4)^3)/'W2'!$F$5*'W2'!$F$5,0)))))))))</f>
        <v/>
      </c>
      <c r="I333" s="300"/>
      <c r="J333" s="302" t="str">
        <f>IF('W2'!$G$5=0,"",IF($C$4=$D$4,(IF(AND('Subcontract 1'!$S$4="Multi",'Subcontract 1'!$R$4="FY"),ROUND(((1+'Subcontract 1'!$M13)^('W2'!$B$20+3)*'W2'!$G$9+(1+'Subcontract 1'!$M13)^('W2'!$B$20+4)*'W2'!$G$10)/'W2'!$G$5*'Subcontract 1'!$E13,0),(IF(AND('Subcontract 1'!$S$4="Multi",'Subcontract 1'!$R$4="PY"),ROUND('Subcontract 1'!$E13*((1+'Subcontract 1'!$M13)^4)/'W2'!$G$5*'W2'!$G$5,0),(IF(AND('Subcontract 1'!$S$4&lt;&gt;"Multi",'Subcontract 1'!$R$4="FY"),ROUND(((1+'Subcontract 1'!$S$4)^('W2'!$B$20+3)*'W2'!$G$9+(1+'Subcontract 1'!$S$4)^('W2'!$B$20+4)*'W2'!$G$10)/'W2'!$G$5*'Subcontract 1'!$E13,0),ROUND('Subcontract 1'!$E13*((1+'Subcontract 1'!$S$4)^4)/'W2'!$G$5*'W2'!$G$5,0))))))),(IF(AND('Subcontract 1'!$S$4="Multi",'Subcontract 1'!$R$4="FY"),ROUND(((1+'Subcontract 1'!$M13)^('W2'!$B$20+4)*'W2'!$G$9+(1+'Subcontract 1'!$M13)^('W2'!$B$20+5)*'W2'!$G$10)/'W2'!$G$5*'Subcontract 1'!$E13,0),(IF(AND('Subcontract 1'!$S$4="Multi",'Subcontract 1'!$R$4="PY"),ROUND('Subcontract 1'!$E13*((1+'Subcontract 1'!$M13)^4)/'W2'!$G$5*'W2'!$G$5,0),(IF(AND('Subcontract 1'!$S$4&lt;&gt;"Multi",'Subcontract 1'!$R$4="FY"),ROUND(((1+'Subcontract 1'!$S$4)^('W2'!$B$20+4)*'W2'!$G$9+(1+'Subcontract 1'!$S$4)^('W2'!$B$20+5)*'W2'!$G$10)/'W2'!$G$5*'Subcontract 1'!$E13,0),ROUND('Subcontract 1'!$E13*((1+'Subcontract 1'!$S$4)^4)/'W2'!$G$5*'W2'!$G$5,0)))))))))</f>
        <v/>
      </c>
      <c r="K333" s="300"/>
    </row>
    <row r="334" spans="1:11" x14ac:dyDescent="0.2">
      <c r="A334" s="82" t="e">
        <f>#REF!</f>
        <v>#REF!</v>
      </c>
      <c r="B334" s="302">
        <f>IF('W2'!$C$5=0,"",IF(AND('Subcontract 1'!$S$4="Multi",'Subcontract 1'!$R$4="FY"),ROUND(((1+'Subcontract 1'!$M14)^'W2'!$B$20*'W2'!$C$9+(1+'Subcontract 1'!$M14)^('W2'!$B$20+1)*'W2'!$C$10)/('W2'!$C$5)*'Subcontract 1'!$E14,0),(IF(AND('Subcontract 1'!$S$4="Multi",'Subcontract 1'!$R$4="PY"),ROUND('Subcontract 1'!$E14/('W2'!$C$5)*'W2'!$C$5,0),(IF(AND('Subcontract 1'!$S$4&lt;&gt;"Multi",'Subcontract 1'!$R$4="FY"),ROUND(((1+'Subcontract 1'!$S$4)^'W2'!$B$20*'W2'!$C$9+(1+'Subcontract 1'!$S$4)^('W2'!$B$20+1)*'W2'!$C$10)/'W2'!$C$5*'Subcontract 1'!$E14,0),ROUND('Subcontract 1'!$E14/'W2'!$C$5*'W2'!$C$5,0)))))))</f>
        <v>0</v>
      </c>
      <c r="C334" s="300"/>
      <c r="D334" s="302">
        <f>IF('W2'!$D$5=0,"",IF($C$4=$D$4,(IF(AND('Subcontract 1'!$S$4="Multi",'Subcontract 1'!$R$4="FY"),ROUND(((1+'Subcontract 1'!$M14)^('W2'!$B$20)*'W2'!$D$9+(1+'Subcontract 1'!$M14)^('W2'!$B$20+1)*'W2'!$D$10)/'W2'!$D$5*'Subcontract 1'!$E14,0),(IF(AND('Subcontract 1'!$S$4="Multi",'Subcontract 1'!$R$4="PY"),ROUND('Subcontract 1'!$E14*(1+'Subcontract 1'!$M14)/'W2'!$D$5*'W2'!$D$5,0),(IF(AND('Subcontract 1'!$S$4&lt;&gt;"Multi",'Subcontract 1'!$R$4="FY"),ROUND(((1+'Subcontract 1'!$S$4)^('W2'!$B$20)*'W2'!$D$9+(1+'Subcontract 1'!$S$4)^('W2'!$B$20+1)*'W2'!$D$10)/'W2'!$D$5*'Subcontract 1'!$E14,0),ROUND('Subcontract 1'!$E14*(1+'Subcontract 1'!$S$4)/'W2'!$D$5*'W2'!$D$5,0))))))),(IF(AND('Subcontract 1'!$S$4="Multi",'Subcontract 1'!$R$4="FY"),ROUND(((1+'Subcontract 1'!$M14)^('W2'!$B$20+1)*'W2'!$D$9+(1+'Subcontract 1'!$M14)^('W2'!$B$20+2)*'W2'!$D$10)/'W2'!$D$5*'Subcontract 1'!$E14,0),(IF(AND('Subcontract 1'!$S$4="Multi",'Subcontract 1'!$R$4="PY"),ROUND('Subcontract 1'!$E14*(1+'Subcontract 1'!$M14)/'W2'!$D$5*'W2'!$D$5,0),(IF(AND('Subcontract 1'!$S$4&lt;&gt;"Multi",'Subcontract 1'!$R$4="FY"),ROUND(((1+'Subcontract 1'!$S$4)^('W2'!$B$20+1)*'W2'!$D$9+(1+'Subcontract 1'!$S$4)^('W2'!$B$20+2)*'W2'!$D$10)/'W2'!$D$5*'Subcontract 1'!$E14,0),ROUND('Subcontract 1'!$E14*(1+'Subcontract 1'!$S$4)/'W2'!$D$5*'W2'!$D$5,0)))))))))</f>
        <v>0</v>
      </c>
      <c r="E334" s="300"/>
      <c r="F334" s="302" t="str">
        <f>IF('W2'!$E$5=0,"",IF($C$4=$D$4,(IF(AND('Subcontract 1'!$S$4="Multi",'Subcontract 1'!$R$4="FY"),ROUND(((1+'Subcontract 1'!$M14)^('W2'!$B$20+1)*'W2'!$E$9+(1+'Subcontract 1'!$M14)^('W2'!$B$20+3)*'W2'!$E$10)/'W2'!$E$5*'Subcontract 1'!$E14,0),(IF(AND('Subcontract 1'!$S$4="Multi",'Subcontract 1'!$R$4="PY"),ROUND('Subcontract 1'!$E14*((1+'Subcontract 1'!$M14)^2)/'W2'!$E$5*'W2'!$E$5,0),(IF(AND('Subcontract 1'!$S$4&lt;&gt;"Multi",'Subcontract 1'!$R$4="FY"),ROUND(((1+'Subcontract 1'!$S$4)^('W2'!$B$20+1)*'W2'!$E$9+(1+'Subcontract 1'!$S$4)^('W2'!$B$20+2)*'W2'!$E$10)/'W2'!$E$5*'Subcontract 1'!$E14,0),ROUND('Subcontract 1'!$E14*((1+'Subcontract 1'!$S$4)^2)/'W2'!$E$5*'W2'!$E$5,0))))))),(IF(AND('Subcontract 1'!$S$4="Multi",'Subcontract 1'!$R$4="FY"),ROUND(((1+'Subcontract 1'!$M14)^('W2'!$B$20+2)*'W2'!$E$9+(1+'Subcontract 1'!$M14)^('W2'!$B$20+3)*'W2'!$E$10)/'W2'!$E$5*'Subcontract 1'!$E14,0),(IF(AND('Subcontract 1'!$S$4="Multi",'Subcontract 1'!$R$4="PY"),ROUND('Subcontract 1'!$E14*((1+'Subcontract 1'!$M14)^2)/'W2'!$E$5*'W2'!$E$5,0),(IF(AND('Subcontract 1'!$S$4&lt;&gt;"Multi",'Subcontract 1'!$R$4="FY"),ROUND(((1+'Subcontract 1'!$S$4)^('W2'!$B$20+2)*'W2'!$E$9+(1+'Subcontract 1'!$S$4)^('W2'!$B$20+3)*'W2'!$E$10)/'W2'!$E$5*'Subcontract 1'!$E14,0),ROUND('Subcontract 1'!$E14*((1+'Subcontract 1'!$S$4)^2)/'W2'!$E$5*'W2'!$E$5,0)))))))))</f>
        <v/>
      </c>
      <c r="G334" s="300"/>
      <c r="H334" s="302" t="str">
        <f>IF('W2'!$F$5=0,"",IF($C$4=$D$4,(IF(AND('Subcontract 1'!$S$4="Multi",'Subcontract 1'!$R$4="FY"),ROUND(((1+'Subcontract 1'!$M14)^('W2'!$B$20+2)*'W2'!$F$9+(1+'Subcontract 1'!$M14)^('W2'!$B$20+3)*'W2'!$F$10)/'W2'!$F$5*'Subcontract 1'!$E14,0),(IF(AND('Subcontract 1'!$S$4="Multi",'Subcontract 1'!$R$4="PY"),ROUND('Subcontract 1'!$E14*((1+'Subcontract 1'!$M14)^3)/'W2'!$F$5*'W2'!$F$5,0),(IF(AND('Subcontract 1'!$S$4&lt;&gt;"Multi",'Subcontract 1'!$R$4="FY"),ROUND(((1+'Subcontract 1'!$S$4)^('W2'!$B$20+2)*'W2'!$F$9+(1+'Subcontract 1'!$S$4)^('W2'!$B$20+3)*'W2'!$F$10)/'W2'!$F$5*'Subcontract 1'!$E14,0),ROUND('Subcontract 1'!$E14*((1+'Subcontract 1'!$S$4)^3)/'W2'!$F$5*'W2'!$F$5,0))))))),(IF(AND('Subcontract 1'!$S$4="Multi",'Subcontract 1'!$R$4="FY"),ROUND(((1+'Subcontract 1'!$M14)^('W2'!$B$20+3)*'W2'!$F$9+(1+'Subcontract 1'!$M14)^('W2'!$B$20+4)*'W2'!$F$10)/'W2'!$F$5*'Subcontract 1'!$E14,0),(IF(AND('Subcontract 1'!$S$4="Multi",'Subcontract 1'!$R$4="PY"),ROUND('Subcontract 1'!$E14*((1+'Subcontract 1'!$M14)^3)/'W2'!$F$5*'W2'!$F$5,0),(IF(AND('Subcontract 1'!$S$4&lt;&gt;"Multi",'Subcontract 1'!$R$4="FY"),ROUND(((1+'Subcontract 1'!$S$4)^('W2'!$B$20+3)*'W2'!$F$9+(1+'Subcontract 1'!$S$4)^('W2'!$B$20+4)*'W2'!$F$10)/'W2'!$F$5*'Subcontract 1'!$E14,0),ROUND('Subcontract 1'!$E14*((1+'Subcontract 1'!$S$4)^3)/'W2'!$F$5*'W2'!$F$5,0)))))))))</f>
        <v/>
      </c>
      <c r="I334" s="300"/>
      <c r="J334" s="302" t="str">
        <f>IF('W2'!$G$5=0,"",IF($C$4=$D$4,(IF(AND('Subcontract 1'!$S$4="Multi",'Subcontract 1'!$R$4="FY"),ROUND(((1+'Subcontract 1'!$M14)^('W2'!$B$20+3)*'W2'!$G$9+(1+'Subcontract 1'!$M14)^('W2'!$B$20+4)*'W2'!$G$10)/'W2'!$G$5*'Subcontract 1'!$E14,0),(IF(AND('Subcontract 1'!$S$4="Multi",'Subcontract 1'!$R$4="PY"),ROUND('Subcontract 1'!$E14*((1+'Subcontract 1'!$M14)^4)/'W2'!$G$5*'W2'!$G$5,0),(IF(AND('Subcontract 1'!$S$4&lt;&gt;"Multi",'Subcontract 1'!$R$4="FY"),ROUND(((1+'Subcontract 1'!$S$4)^('W2'!$B$20+3)*'W2'!$G$9+(1+'Subcontract 1'!$S$4)^('W2'!$B$20+4)*'W2'!$G$10)/'W2'!$G$5*'Subcontract 1'!$E14,0),ROUND('Subcontract 1'!$E14*((1+'Subcontract 1'!$S$4)^4)/'W2'!$G$5*'W2'!$G$5,0))))))),(IF(AND('Subcontract 1'!$S$4="Multi",'Subcontract 1'!$R$4="FY"),ROUND(((1+'Subcontract 1'!$M14)^('W2'!$B$20+4)*'W2'!$G$9+(1+'Subcontract 1'!$M14)^('W2'!$B$20+5)*'W2'!$G$10)/'W2'!$G$5*'Subcontract 1'!$E14,0),(IF(AND('Subcontract 1'!$S$4="Multi",'Subcontract 1'!$R$4="PY"),ROUND('Subcontract 1'!$E14*((1+'Subcontract 1'!$M14)^4)/'W2'!$G$5*'W2'!$G$5,0),(IF(AND('Subcontract 1'!$S$4&lt;&gt;"Multi",'Subcontract 1'!$R$4="FY"),ROUND(((1+'Subcontract 1'!$S$4)^('W2'!$B$20+4)*'W2'!$G$9+(1+'Subcontract 1'!$S$4)^('W2'!$B$20+5)*'W2'!$G$10)/'W2'!$G$5*'Subcontract 1'!$E14,0),ROUND('Subcontract 1'!$E14*((1+'Subcontract 1'!$S$4)^4)/'W2'!$G$5*'W2'!$G$5,0)))))))))</f>
        <v/>
      </c>
      <c r="K334" s="300"/>
    </row>
    <row r="335" spans="1:11" x14ac:dyDescent="0.2">
      <c r="A335" s="82" t="e">
        <f>#REF!</f>
        <v>#REF!</v>
      </c>
      <c r="B335" s="302">
        <f>IF('W2'!$C$5=0,"",IF(AND('Subcontract 1'!$S$4="Multi",'Subcontract 1'!$R$4="FY"),ROUND(((1+'Subcontract 1'!$M15)^'W2'!$B$20*'W2'!$C$9+(1+'Subcontract 1'!$M15)^('W2'!$B$20+1)*'W2'!$C$10)/('W2'!$C$5)*'Subcontract 1'!$E15,0),(IF(AND('Subcontract 1'!$S$4="Multi",'Subcontract 1'!$R$4="PY"),ROUND('Subcontract 1'!$E15/('W2'!$C$5)*'W2'!$C$5,0),(IF(AND('Subcontract 1'!$S$4&lt;&gt;"Multi",'Subcontract 1'!$R$4="FY"),ROUND(((1+'Subcontract 1'!$S$4)^'W2'!$B$20*'W2'!$C$9+(1+'Subcontract 1'!$S$4)^('W2'!$B$20+1)*'W2'!$C$10)/'W2'!$C$5*'Subcontract 1'!$E15,0),ROUND('Subcontract 1'!$E15/'W2'!$C$5*'W2'!$C$5,0)))))))</f>
        <v>0</v>
      </c>
      <c r="C335" s="300"/>
      <c r="D335" s="302">
        <f>IF('W2'!$D$5=0,"",IF($C$4=$D$4,(IF(AND('Subcontract 1'!$S$4="Multi",'Subcontract 1'!$R$4="FY"),ROUND(((1+'Subcontract 1'!$M15)^('W2'!$B$20)*'W2'!$D$9+(1+'Subcontract 1'!$M15)^('W2'!$B$20+1)*'W2'!$D$10)/'W2'!$D$5*'Subcontract 1'!$E15,0),(IF(AND('Subcontract 1'!$S$4="Multi",'Subcontract 1'!$R$4="PY"),ROUND('Subcontract 1'!$E15*(1+'Subcontract 1'!$M15)/'W2'!$D$5*'W2'!$D$5,0),(IF(AND('Subcontract 1'!$S$4&lt;&gt;"Multi",'Subcontract 1'!$R$4="FY"),ROUND(((1+'Subcontract 1'!$S$4)^('W2'!$B$20)*'W2'!$D$9+(1+'Subcontract 1'!$S$4)^('W2'!$B$20+1)*'W2'!$D$10)/'W2'!$D$5*'Subcontract 1'!$E15,0),ROUND('Subcontract 1'!$E15*(1+'Subcontract 1'!$S$4)/'W2'!$D$5*'W2'!$D$5,0))))))),(IF(AND('Subcontract 1'!$S$4="Multi",'Subcontract 1'!$R$4="FY"),ROUND(((1+'Subcontract 1'!$M15)^('W2'!$B$20+1)*'W2'!$D$9+(1+'Subcontract 1'!$M15)^('W2'!$B$20+2)*'W2'!$D$10)/'W2'!$D$5*'Subcontract 1'!$E15,0),(IF(AND('Subcontract 1'!$S$4="Multi",'Subcontract 1'!$R$4="PY"),ROUND('Subcontract 1'!$E15*(1+'Subcontract 1'!$M15)/'W2'!$D$5*'W2'!$D$5,0),(IF(AND('Subcontract 1'!$S$4&lt;&gt;"Multi",'Subcontract 1'!$R$4="FY"),ROUND(((1+'Subcontract 1'!$S$4)^('W2'!$B$20+1)*'W2'!$D$9+(1+'Subcontract 1'!$S$4)^('W2'!$B$20+2)*'W2'!$D$10)/'W2'!$D$5*'Subcontract 1'!$E15,0),ROUND('Subcontract 1'!$E15*(1+'Subcontract 1'!$S$4)/'W2'!$D$5*'W2'!$D$5,0)))))))))</f>
        <v>0</v>
      </c>
      <c r="E335" s="300"/>
      <c r="F335" s="302" t="str">
        <f>IF('W2'!$E$5=0,"",IF($C$4=$D$4,(IF(AND('Subcontract 1'!$S$4="Multi",'Subcontract 1'!$R$4="FY"),ROUND(((1+'Subcontract 1'!$M15)^('W2'!$B$20+1)*'W2'!$E$9+(1+'Subcontract 1'!$M15)^('W2'!$B$20+3)*'W2'!$E$10)/'W2'!$E$5*'Subcontract 1'!$E15,0),(IF(AND('Subcontract 1'!$S$4="Multi",'Subcontract 1'!$R$4="PY"),ROUND('Subcontract 1'!$E15*((1+'Subcontract 1'!$M15)^2)/'W2'!$E$5*'W2'!$E$5,0),(IF(AND('Subcontract 1'!$S$4&lt;&gt;"Multi",'Subcontract 1'!$R$4="FY"),ROUND(((1+'Subcontract 1'!$S$4)^('W2'!$B$20+1)*'W2'!$E$9+(1+'Subcontract 1'!$S$4)^('W2'!$B$20+2)*'W2'!$E$10)/'W2'!$E$5*'Subcontract 1'!$E15,0),ROUND('Subcontract 1'!$E15*((1+'Subcontract 1'!$S$4)^2)/'W2'!$E$5*'W2'!$E$5,0))))))),(IF(AND('Subcontract 1'!$S$4="Multi",'Subcontract 1'!$R$4="FY"),ROUND(((1+'Subcontract 1'!$M15)^('W2'!$B$20+2)*'W2'!$E$9+(1+'Subcontract 1'!$M15)^('W2'!$B$20+3)*'W2'!$E$10)/'W2'!$E$5*'Subcontract 1'!$E15,0),(IF(AND('Subcontract 1'!$S$4="Multi",'Subcontract 1'!$R$4="PY"),ROUND('Subcontract 1'!$E15*((1+'Subcontract 1'!$M15)^2)/'W2'!$E$5*'W2'!$E$5,0),(IF(AND('Subcontract 1'!$S$4&lt;&gt;"Multi",'Subcontract 1'!$R$4="FY"),ROUND(((1+'Subcontract 1'!$S$4)^('W2'!$B$20+2)*'W2'!$E$9+(1+'Subcontract 1'!$S$4)^('W2'!$B$20+3)*'W2'!$E$10)/'W2'!$E$5*'Subcontract 1'!$E15,0),ROUND('Subcontract 1'!$E15*((1+'Subcontract 1'!$S$4)^2)/'W2'!$E$5*'W2'!$E$5,0)))))))))</f>
        <v/>
      </c>
      <c r="G335" s="300"/>
      <c r="H335" s="302" t="str">
        <f>IF('W2'!$F$5=0,"",IF($C$4=$D$4,(IF(AND('Subcontract 1'!$S$4="Multi",'Subcontract 1'!$R$4="FY"),ROUND(((1+'Subcontract 1'!$M15)^('W2'!$B$20+2)*'W2'!$F$9+(1+'Subcontract 1'!$M15)^('W2'!$B$20+3)*'W2'!$F$10)/'W2'!$F$5*'Subcontract 1'!$E15,0),(IF(AND('Subcontract 1'!$S$4="Multi",'Subcontract 1'!$R$4="PY"),ROUND('Subcontract 1'!$E15*((1+'Subcontract 1'!$M15)^3)/'W2'!$F$5*'W2'!$F$5,0),(IF(AND('Subcontract 1'!$S$4&lt;&gt;"Multi",'Subcontract 1'!$R$4="FY"),ROUND(((1+'Subcontract 1'!$S$4)^('W2'!$B$20+2)*'W2'!$F$9+(1+'Subcontract 1'!$S$4)^('W2'!$B$20+3)*'W2'!$F$10)/'W2'!$F$5*'Subcontract 1'!$E15,0),ROUND('Subcontract 1'!$E15*((1+'Subcontract 1'!$S$4)^3)/'W2'!$F$5*'W2'!$F$5,0))))))),(IF(AND('Subcontract 1'!$S$4="Multi",'Subcontract 1'!$R$4="FY"),ROUND(((1+'Subcontract 1'!$M15)^('W2'!$B$20+3)*'W2'!$F$9+(1+'Subcontract 1'!$M15)^('W2'!$B$20+4)*'W2'!$F$10)/'W2'!$F$5*'Subcontract 1'!$E15,0),(IF(AND('Subcontract 1'!$S$4="Multi",'Subcontract 1'!$R$4="PY"),ROUND('Subcontract 1'!$E15*((1+'Subcontract 1'!$M15)^3)/'W2'!$F$5*'W2'!$F$5,0),(IF(AND('Subcontract 1'!$S$4&lt;&gt;"Multi",'Subcontract 1'!$R$4="FY"),ROUND(((1+'Subcontract 1'!$S$4)^('W2'!$B$20+3)*'W2'!$F$9+(1+'Subcontract 1'!$S$4)^('W2'!$B$20+4)*'W2'!$F$10)/'W2'!$F$5*'Subcontract 1'!$E15,0),ROUND('Subcontract 1'!$E15*((1+'Subcontract 1'!$S$4)^3)/'W2'!$F$5*'W2'!$F$5,0)))))))))</f>
        <v/>
      </c>
      <c r="I335" s="300"/>
      <c r="J335" s="302" t="str">
        <f>IF('W2'!$G$5=0,"",IF($C$4=$D$4,(IF(AND('Subcontract 1'!$S$4="Multi",'Subcontract 1'!$R$4="FY"),ROUND(((1+'Subcontract 1'!$M15)^('W2'!$B$20+3)*'W2'!$G$9+(1+'Subcontract 1'!$M15)^('W2'!$B$20+4)*'W2'!$G$10)/'W2'!$G$5*'Subcontract 1'!$E15,0),(IF(AND('Subcontract 1'!$S$4="Multi",'Subcontract 1'!$R$4="PY"),ROUND('Subcontract 1'!$E15*((1+'Subcontract 1'!$M15)^4)/'W2'!$G$5*'W2'!$G$5,0),(IF(AND('Subcontract 1'!$S$4&lt;&gt;"Multi",'Subcontract 1'!$R$4="FY"),ROUND(((1+'Subcontract 1'!$S$4)^('W2'!$B$20+3)*'W2'!$G$9+(1+'Subcontract 1'!$S$4)^('W2'!$B$20+4)*'W2'!$G$10)/'W2'!$G$5*'Subcontract 1'!$E15,0),ROUND('Subcontract 1'!$E15*((1+'Subcontract 1'!$S$4)^4)/'W2'!$G$5*'W2'!$G$5,0))))))),(IF(AND('Subcontract 1'!$S$4="Multi",'Subcontract 1'!$R$4="FY"),ROUND(((1+'Subcontract 1'!$M15)^('W2'!$B$20+4)*'W2'!$G$9+(1+'Subcontract 1'!$M15)^('W2'!$B$20+5)*'W2'!$G$10)/'W2'!$G$5*'Subcontract 1'!$E15,0),(IF(AND('Subcontract 1'!$S$4="Multi",'Subcontract 1'!$R$4="PY"),ROUND('Subcontract 1'!$E15*((1+'Subcontract 1'!$M15)^4)/'W2'!$G$5*'W2'!$G$5,0),(IF(AND('Subcontract 1'!$S$4&lt;&gt;"Multi",'Subcontract 1'!$R$4="FY"),ROUND(((1+'Subcontract 1'!$S$4)^('W2'!$B$20+4)*'W2'!$G$9+(1+'Subcontract 1'!$S$4)^('W2'!$B$20+5)*'W2'!$G$10)/'W2'!$G$5*'Subcontract 1'!$E15,0),ROUND('Subcontract 1'!$E15*((1+'Subcontract 1'!$S$4)^4)/'W2'!$G$5*'W2'!$G$5,0)))))))))</f>
        <v/>
      </c>
      <c r="K335" s="300"/>
    </row>
    <row r="336" spans="1:11" x14ac:dyDescent="0.2">
      <c r="A336" s="82" t="e">
        <f>#REF!</f>
        <v>#REF!</v>
      </c>
      <c r="B336" s="302">
        <f>IF('W2'!$C$5=0,"",IF(AND('Subcontract 1'!$S$4="Multi",'Subcontract 1'!$R$4="FY"),ROUND(((1+'Subcontract 1'!$M16)^'W2'!$B$20*'W2'!$C$9+(1+'Subcontract 1'!$M16)^('W2'!$B$20+1)*'W2'!$C$10)/('W2'!$C$5)*'Subcontract 1'!$E16,0),(IF(AND('Subcontract 1'!$S$4="Multi",'Subcontract 1'!$R$4="PY"),ROUND('Subcontract 1'!$E16/('W2'!$C$5)*'W2'!$C$5,0),(IF(AND('Subcontract 1'!$S$4&lt;&gt;"Multi",'Subcontract 1'!$R$4="FY"),ROUND(((1+'Subcontract 1'!$S$4)^'W2'!$B$20*'W2'!$C$9+(1+'Subcontract 1'!$S$4)^('W2'!$B$20+1)*'W2'!$C$10)/'W2'!$C$5*'Subcontract 1'!$E16,0),ROUND('Subcontract 1'!$E16/'W2'!$C$5*'W2'!$C$5,0)))))))</f>
        <v>0</v>
      </c>
      <c r="C336" s="300"/>
      <c r="D336" s="302">
        <f>IF('W2'!$D$5=0,"",IF($C$4=$D$4,(IF(AND('Subcontract 1'!$S$4="Multi",'Subcontract 1'!$R$4="FY"),ROUND(((1+'Subcontract 1'!$M16)^('W2'!$B$20)*'W2'!$D$9+(1+'Subcontract 1'!$M16)^('W2'!$B$20+1)*'W2'!$D$10)/'W2'!$D$5*'Subcontract 1'!$E16,0),(IF(AND('Subcontract 1'!$S$4="Multi",'Subcontract 1'!$R$4="PY"),ROUND('Subcontract 1'!$E16*(1+'Subcontract 1'!$M16)/'W2'!$D$5*'W2'!$D$5,0),(IF(AND('Subcontract 1'!$S$4&lt;&gt;"Multi",'Subcontract 1'!$R$4="FY"),ROUND(((1+'Subcontract 1'!$S$4)^('W2'!$B$20)*'W2'!$D$9+(1+'Subcontract 1'!$S$4)^('W2'!$B$20+1)*'W2'!$D$10)/'W2'!$D$5*'Subcontract 1'!$E16,0),ROUND('Subcontract 1'!$E16*(1+'Subcontract 1'!$S$4)/'W2'!$D$5*'W2'!$D$5,0))))))),(IF(AND('Subcontract 1'!$S$4="Multi",'Subcontract 1'!$R$4="FY"),ROUND(((1+'Subcontract 1'!$M16)^('W2'!$B$20+1)*'W2'!$D$9+(1+'Subcontract 1'!$M16)^('W2'!$B$20+2)*'W2'!$D$10)/'W2'!$D$5*'Subcontract 1'!$E16,0),(IF(AND('Subcontract 1'!$S$4="Multi",'Subcontract 1'!$R$4="PY"),ROUND('Subcontract 1'!$E16*(1+'Subcontract 1'!$M16)/'W2'!$D$5*'W2'!$D$5,0),(IF(AND('Subcontract 1'!$S$4&lt;&gt;"Multi",'Subcontract 1'!$R$4="FY"),ROUND(((1+'Subcontract 1'!$S$4)^('W2'!$B$20+1)*'W2'!$D$9+(1+'Subcontract 1'!$S$4)^('W2'!$B$20+2)*'W2'!$D$10)/'W2'!$D$5*'Subcontract 1'!$E16,0),ROUND('Subcontract 1'!$E16*(1+'Subcontract 1'!$S$4)/'W2'!$D$5*'W2'!$D$5,0)))))))))</f>
        <v>0</v>
      </c>
      <c r="E336" s="300"/>
      <c r="F336" s="302" t="str">
        <f>IF('W2'!$E$5=0,"",IF($C$4=$D$4,(IF(AND('Subcontract 1'!$S$4="Multi",'Subcontract 1'!$R$4="FY"),ROUND(((1+'Subcontract 1'!$M16)^('W2'!$B$20+1)*'W2'!$E$9+(1+'Subcontract 1'!$M16)^('W2'!$B$20+3)*'W2'!$E$10)/'W2'!$E$5*'Subcontract 1'!$E16,0),(IF(AND('Subcontract 1'!$S$4="Multi",'Subcontract 1'!$R$4="PY"),ROUND('Subcontract 1'!$E16*((1+'Subcontract 1'!$M16)^2)/'W2'!$E$5*'W2'!$E$5,0),(IF(AND('Subcontract 1'!$S$4&lt;&gt;"Multi",'Subcontract 1'!$R$4="FY"),ROUND(((1+'Subcontract 1'!$S$4)^('W2'!$B$20+1)*'W2'!$E$9+(1+'Subcontract 1'!$S$4)^('W2'!$B$20+2)*'W2'!$E$10)/'W2'!$E$5*'Subcontract 1'!$E16,0),ROUND('Subcontract 1'!$E16*((1+'Subcontract 1'!$S$4)^2)/'W2'!$E$5*'W2'!$E$5,0))))))),(IF(AND('Subcontract 1'!$S$4="Multi",'Subcontract 1'!$R$4="FY"),ROUND(((1+'Subcontract 1'!$M16)^('W2'!$B$20+2)*'W2'!$E$9+(1+'Subcontract 1'!$M16)^('W2'!$B$20+3)*'W2'!$E$10)/'W2'!$E$5*'Subcontract 1'!$E16,0),(IF(AND('Subcontract 1'!$S$4="Multi",'Subcontract 1'!$R$4="PY"),ROUND('Subcontract 1'!$E16*((1+'Subcontract 1'!$M16)^2)/'W2'!$E$5*'W2'!$E$5,0),(IF(AND('Subcontract 1'!$S$4&lt;&gt;"Multi",'Subcontract 1'!$R$4="FY"),ROUND(((1+'Subcontract 1'!$S$4)^('W2'!$B$20+2)*'W2'!$E$9+(1+'Subcontract 1'!$S$4)^('W2'!$B$20+3)*'W2'!$E$10)/'W2'!$E$5*'Subcontract 1'!$E16,0),ROUND('Subcontract 1'!$E16*((1+'Subcontract 1'!$S$4)^2)/'W2'!$E$5*'W2'!$E$5,0)))))))))</f>
        <v/>
      </c>
      <c r="G336" s="300"/>
      <c r="H336" s="302" t="str">
        <f>IF('W2'!$F$5=0,"",IF($C$4=$D$4,(IF(AND('Subcontract 1'!$S$4="Multi",'Subcontract 1'!$R$4="FY"),ROUND(((1+'Subcontract 1'!$M16)^('W2'!$B$20+2)*'W2'!$F$9+(1+'Subcontract 1'!$M16)^('W2'!$B$20+3)*'W2'!$F$10)/'W2'!$F$5*'Subcontract 1'!$E16,0),(IF(AND('Subcontract 1'!$S$4="Multi",'Subcontract 1'!$R$4="PY"),ROUND('Subcontract 1'!$E16*((1+'Subcontract 1'!$M16)^3)/'W2'!$F$5*'W2'!$F$5,0),(IF(AND('Subcontract 1'!$S$4&lt;&gt;"Multi",'Subcontract 1'!$R$4="FY"),ROUND(((1+'Subcontract 1'!$S$4)^('W2'!$B$20+2)*'W2'!$F$9+(1+'Subcontract 1'!$S$4)^('W2'!$B$20+3)*'W2'!$F$10)/'W2'!$F$5*'Subcontract 1'!$E16,0),ROUND('Subcontract 1'!$E16*((1+'Subcontract 1'!$S$4)^3)/'W2'!$F$5*'W2'!$F$5,0))))))),(IF(AND('Subcontract 1'!$S$4="Multi",'Subcontract 1'!$R$4="FY"),ROUND(((1+'Subcontract 1'!$M16)^('W2'!$B$20+3)*'W2'!$F$9+(1+'Subcontract 1'!$M16)^('W2'!$B$20+4)*'W2'!$F$10)/'W2'!$F$5*'Subcontract 1'!$E16,0),(IF(AND('Subcontract 1'!$S$4="Multi",'Subcontract 1'!$R$4="PY"),ROUND('Subcontract 1'!$E16*((1+'Subcontract 1'!$M16)^3)/'W2'!$F$5*'W2'!$F$5,0),(IF(AND('Subcontract 1'!$S$4&lt;&gt;"Multi",'Subcontract 1'!$R$4="FY"),ROUND(((1+'Subcontract 1'!$S$4)^('W2'!$B$20+3)*'W2'!$F$9+(1+'Subcontract 1'!$S$4)^('W2'!$B$20+4)*'W2'!$F$10)/'W2'!$F$5*'Subcontract 1'!$E16,0),ROUND('Subcontract 1'!$E16*((1+'Subcontract 1'!$S$4)^3)/'W2'!$F$5*'W2'!$F$5,0)))))))))</f>
        <v/>
      </c>
      <c r="I336" s="300"/>
      <c r="J336" s="302" t="str">
        <f>IF('W2'!$G$5=0,"",IF($C$4=$D$4,(IF(AND('Subcontract 1'!$S$4="Multi",'Subcontract 1'!$R$4="FY"),ROUND(((1+'Subcontract 1'!$M16)^('W2'!$B$20+3)*'W2'!$G$9+(1+'Subcontract 1'!$M16)^('W2'!$B$20+4)*'W2'!$G$10)/'W2'!$G$5*'Subcontract 1'!$E16,0),(IF(AND('Subcontract 1'!$S$4="Multi",'Subcontract 1'!$R$4="PY"),ROUND('Subcontract 1'!$E16*((1+'Subcontract 1'!$M16)^4)/'W2'!$G$5*'W2'!$G$5,0),(IF(AND('Subcontract 1'!$S$4&lt;&gt;"Multi",'Subcontract 1'!$R$4="FY"),ROUND(((1+'Subcontract 1'!$S$4)^('W2'!$B$20+3)*'W2'!$G$9+(1+'Subcontract 1'!$S$4)^('W2'!$B$20+4)*'W2'!$G$10)/'W2'!$G$5*'Subcontract 1'!$E16,0),ROUND('Subcontract 1'!$E16*((1+'Subcontract 1'!$S$4)^4)/'W2'!$G$5*'W2'!$G$5,0))))))),(IF(AND('Subcontract 1'!$S$4="Multi",'Subcontract 1'!$R$4="FY"),ROUND(((1+'Subcontract 1'!$M16)^('W2'!$B$20+4)*'W2'!$G$9+(1+'Subcontract 1'!$M16)^('W2'!$B$20+5)*'W2'!$G$10)/'W2'!$G$5*'Subcontract 1'!$E16,0),(IF(AND('Subcontract 1'!$S$4="Multi",'Subcontract 1'!$R$4="PY"),ROUND('Subcontract 1'!$E16*((1+'Subcontract 1'!$M16)^4)/'W2'!$G$5*'W2'!$G$5,0),(IF(AND('Subcontract 1'!$S$4&lt;&gt;"Multi",'Subcontract 1'!$R$4="FY"),ROUND(((1+'Subcontract 1'!$S$4)^('W2'!$B$20+4)*'W2'!$G$9+(1+'Subcontract 1'!$S$4)^('W2'!$B$20+5)*'W2'!$G$10)/'W2'!$G$5*'Subcontract 1'!$E16,0),ROUND('Subcontract 1'!$E16*((1+'Subcontract 1'!$S$4)^4)/'W2'!$G$5*'W2'!$G$5,0)))))))))</f>
        <v/>
      </c>
      <c r="K336" s="300"/>
    </row>
    <row r="337" spans="1:11" x14ac:dyDescent="0.2">
      <c r="A337" s="82" t="e">
        <f>#REF!</f>
        <v>#REF!</v>
      </c>
      <c r="B337" s="302">
        <f>IF('W2'!$C$5=0,"",IF(AND('Subcontract 1'!$S$4="Multi",'Subcontract 1'!$R$4="FY"),ROUND(((1+'Subcontract 1'!$M17)^'W2'!$B$20*'W2'!$C$9+(1+'Subcontract 1'!$M17)^('W2'!$B$20+1)*'W2'!$C$10)/('W2'!$C$5)*'Subcontract 1'!$E17,0),(IF(AND('Subcontract 1'!$S$4="Multi",'Subcontract 1'!$R$4="PY"),ROUND('Subcontract 1'!$E17/('W2'!$C$5)*'W2'!$C$5,0),(IF(AND('Subcontract 1'!$S$4&lt;&gt;"Multi",'Subcontract 1'!$R$4="FY"),ROUND(((1+'Subcontract 1'!$S$4)^'W2'!$B$20*'W2'!$C$9+(1+'Subcontract 1'!$S$4)^('W2'!$B$20+1)*'W2'!$C$10)/'W2'!$C$5*'Subcontract 1'!$E17,0),ROUND('Subcontract 1'!$E17/'W2'!$C$5*'W2'!$C$5,0)))))))</f>
        <v>0</v>
      </c>
      <c r="C337" s="300"/>
      <c r="D337" s="302">
        <f>IF('W2'!$D$5=0,"",IF($C$4=$D$4,(IF(AND('Subcontract 1'!$S$4="Multi",'Subcontract 1'!$R$4="FY"),ROUND(((1+'Subcontract 1'!$M17)^('W2'!$B$20)*'W2'!$D$9+(1+'Subcontract 1'!$M17)^('W2'!$B$20+1)*'W2'!$D$10)/'W2'!$D$5*'Subcontract 1'!$E17,0),(IF(AND('Subcontract 1'!$S$4="Multi",'Subcontract 1'!$R$4="PY"),ROUND('Subcontract 1'!$E17*(1+'Subcontract 1'!$M17)/'W2'!$D$5*'W2'!$D$5,0),(IF(AND('Subcontract 1'!$S$4&lt;&gt;"Multi",'Subcontract 1'!$R$4="FY"),ROUND(((1+'Subcontract 1'!$S$4)^('W2'!$B$20)*'W2'!$D$9+(1+'Subcontract 1'!$S$4)^('W2'!$B$20+1)*'W2'!$D$10)/'W2'!$D$5*'Subcontract 1'!$E17,0),ROUND('Subcontract 1'!$E17*(1+'Subcontract 1'!$S$4)/'W2'!$D$5*'W2'!$D$5,0))))))),(IF(AND('Subcontract 1'!$S$4="Multi",'Subcontract 1'!$R$4="FY"),ROUND(((1+'Subcontract 1'!$M17)^('W2'!$B$20+1)*'W2'!$D$9+(1+'Subcontract 1'!$M17)^('W2'!$B$20+2)*'W2'!$D$10)/'W2'!$D$5*'Subcontract 1'!$E17,0),(IF(AND('Subcontract 1'!$S$4="Multi",'Subcontract 1'!$R$4="PY"),ROUND('Subcontract 1'!$E17*(1+'Subcontract 1'!$M17)/'W2'!$D$5*'W2'!$D$5,0),(IF(AND('Subcontract 1'!$S$4&lt;&gt;"Multi",'Subcontract 1'!$R$4="FY"),ROUND(((1+'Subcontract 1'!$S$4)^('W2'!$B$20+1)*'W2'!$D$9+(1+'Subcontract 1'!$S$4)^('W2'!$B$20+2)*'W2'!$D$10)/'W2'!$D$5*'Subcontract 1'!$E17,0),ROUND('Subcontract 1'!$E17*(1+'Subcontract 1'!$S$4)/'W2'!$D$5*'W2'!$D$5,0)))))))))</f>
        <v>0</v>
      </c>
      <c r="E337" s="300"/>
      <c r="F337" s="302" t="str">
        <f>IF('W2'!$E$5=0,"",IF($C$4=$D$4,(IF(AND('Subcontract 1'!$S$4="Multi",'Subcontract 1'!$R$4="FY"),ROUND(((1+'Subcontract 1'!$M17)^('W2'!$B$20+1)*'W2'!$E$9+(1+'Subcontract 1'!$M17)^('W2'!$B$20+3)*'W2'!$E$10)/'W2'!$E$5*'Subcontract 1'!$E17,0),(IF(AND('Subcontract 1'!$S$4="Multi",'Subcontract 1'!$R$4="PY"),ROUND('Subcontract 1'!$E17*((1+'Subcontract 1'!$M17)^2)/'W2'!$E$5*'W2'!$E$5,0),(IF(AND('Subcontract 1'!$S$4&lt;&gt;"Multi",'Subcontract 1'!$R$4="FY"),ROUND(((1+'Subcontract 1'!$S$4)^('W2'!$B$20+1)*'W2'!$E$9+(1+'Subcontract 1'!$S$4)^('W2'!$B$20+2)*'W2'!$E$10)/'W2'!$E$5*'Subcontract 1'!$E17,0),ROUND('Subcontract 1'!$E17*((1+'Subcontract 1'!$S$4)^2)/'W2'!$E$5*'W2'!$E$5,0))))))),(IF(AND('Subcontract 1'!$S$4="Multi",'Subcontract 1'!$R$4="FY"),ROUND(((1+'Subcontract 1'!$M17)^('W2'!$B$20+2)*'W2'!$E$9+(1+'Subcontract 1'!$M17)^('W2'!$B$20+3)*'W2'!$E$10)/'W2'!$E$5*'Subcontract 1'!$E17,0),(IF(AND('Subcontract 1'!$S$4="Multi",'Subcontract 1'!$R$4="PY"),ROUND('Subcontract 1'!$E17*((1+'Subcontract 1'!$M17)^2)/'W2'!$E$5*'W2'!$E$5,0),(IF(AND('Subcontract 1'!$S$4&lt;&gt;"Multi",'Subcontract 1'!$R$4="FY"),ROUND(((1+'Subcontract 1'!$S$4)^('W2'!$B$20+2)*'W2'!$E$9+(1+'Subcontract 1'!$S$4)^('W2'!$B$20+3)*'W2'!$E$10)/'W2'!$E$5*'Subcontract 1'!$E17,0),ROUND('Subcontract 1'!$E17*((1+'Subcontract 1'!$S$4)^2)/'W2'!$E$5*'W2'!$E$5,0)))))))))</f>
        <v/>
      </c>
      <c r="G337" s="300"/>
      <c r="H337" s="302" t="str">
        <f>IF('W2'!$F$5=0,"",IF($C$4=$D$4,(IF(AND('Subcontract 1'!$S$4="Multi",'Subcontract 1'!$R$4="FY"),ROUND(((1+'Subcontract 1'!$M17)^('W2'!$B$20+2)*'W2'!$F$9+(1+'Subcontract 1'!$M17)^('W2'!$B$20+3)*'W2'!$F$10)/'W2'!$F$5*'Subcontract 1'!$E17,0),(IF(AND('Subcontract 1'!$S$4="Multi",'Subcontract 1'!$R$4="PY"),ROUND('Subcontract 1'!$E17*((1+'Subcontract 1'!$M17)^3)/'W2'!$F$5*'W2'!$F$5,0),(IF(AND('Subcontract 1'!$S$4&lt;&gt;"Multi",'Subcontract 1'!$R$4="FY"),ROUND(((1+'Subcontract 1'!$S$4)^('W2'!$B$20+2)*'W2'!$F$9+(1+'Subcontract 1'!$S$4)^('W2'!$B$20+3)*'W2'!$F$10)/'W2'!$F$5*'Subcontract 1'!$E17,0),ROUND('Subcontract 1'!$E17*((1+'Subcontract 1'!$S$4)^3)/'W2'!$F$5*'W2'!$F$5,0))))))),(IF(AND('Subcontract 1'!$S$4="Multi",'Subcontract 1'!$R$4="FY"),ROUND(((1+'Subcontract 1'!$M17)^('W2'!$B$20+3)*'W2'!$F$9+(1+'Subcontract 1'!$M17)^('W2'!$B$20+4)*'W2'!$F$10)/'W2'!$F$5*'Subcontract 1'!$E17,0),(IF(AND('Subcontract 1'!$S$4="Multi",'Subcontract 1'!$R$4="PY"),ROUND('Subcontract 1'!$E17*((1+'Subcontract 1'!$M17)^3)/'W2'!$F$5*'W2'!$F$5,0),(IF(AND('Subcontract 1'!$S$4&lt;&gt;"Multi",'Subcontract 1'!$R$4="FY"),ROUND(((1+'Subcontract 1'!$S$4)^('W2'!$B$20+3)*'W2'!$F$9+(1+'Subcontract 1'!$S$4)^('W2'!$B$20+4)*'W2'!$F$10)/'W2'!$F$5*'Subcontract 1'!$E17,0),ROUND('Subcontract 1'!$E17*((1+'Subcontract 1'!$S$4)^3)/'W2'!$F$5*'W2'!$F$5,0)))))))))</f>
        <v/>
      </c>
      <c r="I337" s="300"/>
      <c r="J337" s="302" t="str">
        <f>IF('W2'!$G$5=0,"",IF($C$4=$D$4,(IF(AND('Subcontract 1'!$S$4="Multi",'Subcontract 1'!$R$4="FY"),ROUND(((1+'Subcontract 1'!$M17)^('W2'!$B$20+3)*'W2'!$G$9+(1+'Subcontract 1'!$M17)^('W2'!$B$20+4)*'W2'!$G$10)/'W2'!$G$5*'Subcontract 1'!$E17,0),(IF(AND('Subcontract 1'!$S$4="Multi",'Subcontract 1'!$R$4="PY"),ROUND('Subcontract 1'!$E17*((1+'Subcontract 1'!$M17)^4)/'W2'!$G$5*'W2'!$G$5,0),(IF(AND('Subcontract 1'!$S$4&lt;&gt;"Multi",'Subcontract 1'!$R$4="FY"),ROUND(((1+'Subcontract 1'!$S$4)^('W2'!$B$20+3)*'W2'!$G$9+(1+'Subcontract 1'!$S$4)^('W2'!$B$20+4)*'W2'!$G$10)/'W2'!$G$5*'Subcontract 1'!$E17,0),ROUND('Subcontract 1'!$E17*((1+'Subcontract 1'!$S$4)^4)/'W2'!$G$5*'W2'!$G$5,0))))))),(IF(AND('Subcontract 1'!$S$4="Multi",'Subcontract 1'!$R$4="FY"),ROUND(((1+'Subcontract 1'!$M17)^('W2'!$B$20+4)*'W2'!$G$9+(1+'Subcontract 1'!$M17)^('W2'!$B$20+5)*'W2'!$G$10)/'W2'!$G$5*'Subcontract 1'!$E17,0),(IF(AND('Subcontract 1'!$S$4="Multi",'Subcontract 1'!$R$4="PY"),ROUND('Subcontract 1'!$E17*((1+'Subcontract 1'!$M17)^4)/'W2'!$G$5*'W2'!$G$5,0),(IF(AND('Subcontract 1'!$S$4&lt;&gt;"Multi",'Subcontract 1'!$R$4="FY"),ROUND(((1+'Subcontract 1'!$S$4)^('W2'!$B$20+4)*'W2'!$G$9+(1+'Subcontract 1'!$S$4)^('W2'!$B$20+5)*'W2'!$G$10)/'W2'!$G$5*'Subcontract 1'!$E17,0),ROUND('Subcontract 1'!$E17*((1+'Subcontract 1'!$S$4)^4)/'W2'!$G$5*'W2'!$G$5,0)))))))))</f>
        <v/>
      </c>
      <c r="K337" s="300"/>
    </row>
    <row r="338" spans="1:11" x14ac:dyDescent="0.2">
      <c r="A338" s="82" t="e">
        <f>#REF!</f>
        <v>#REF!</v>
      </c>
      <c r="B338" s="302">
        <f>IF('W2'!$C$5=0,"",IF(AND('Subcontract 1'!$S$4="Multi",'Subcontract 1'!$R$4="FY"),ROUND(((1+'Subcontract 1'!$M18)^'W2'!$B$20*'W2'!$C$9+(1+'Subcontract 1'!$M18)^('W2'!$B$20+1)*'W2'!$C$10)/('W2'!$C$5)*'Subcontract 1'!$E18,0),(IF(AND('Subcontract 1'!$S$4="Multi",'Subcontract 1'!$R$4="PY"),ROUND('Subcontract 1'!$E18/('W2'!$C$5)*'W2'!$C$5,0),(IF(AND('Subcontract 1'!$S$4&lt;&gt;"Multi",'Subcontract 1'!$R$4="FY"),ROUND(((1+'Subcontract 1'!$S$4)^'W2'!$B$20*'W2'!$C$9+(1+'Subcontract 1'!$S$4)^('W2'!$B$20+1)*'W2'!$C$10)/'W2'!$C$5*'Subcontract 1'!$E18,0),ROUND('Subcontract 1'!$E18/'W2'!$C$5*'W2'!$C$5,0)))))))</f>
        <v>0</v>
      </c>
      <c r="C338" s="300"/>
      <c r="D338" s="302">
        <f>IF('W2'!$D$5=0,"",IF($C$4=$D$4,(IF(AND('Subcontract 1'!$S$4="Multi",'Subcontract 1'!$R$4="FY"),ROUND(((1+'Subcontract 1'!$M18)^('W2'!$B$20)*'W2'!$D$9+(1+'Subcontract 1'!$M18)^('W2'!$B$20+1)*'W2'!$D$10)/'W2'!$D$5*'Subcontract 1'!$E18,0),(IF(AND('Subcontract 1'!$S$4="Multi",'Subcontract 1'!$R$4="PY"),ROUND('Subcontract 1'!$E18*(1+'Subcontract 1'!$M18)/'W2'!$D$5*'W2'!$D$5,0),(IF(AND('Subcontract 1'!$S$4&lt;&gt;"Multi",'Subcontract 1'!$R$4="FY"),ROUND(((1+'Subcontract 1'!$S$4)^('W2'!$B$20)*'W2'!$D$9+(1+'Subcontract 1'!$S$4)^('W2'!$B$20+1)*'W2'!$D$10)/'W2'!$D$5*'Subcontract 1'!$E18,0),ROUND('Subcontract 1'!$E18*(1+'Subcontract 1'!$S$4)/'W2'!$D$5*'W2'!$D$5,0))))))),(IF(AND('Subcontract 1'!$S$4="Multi",'Subcontract 1'!$R$4="FY"),ROUND(((1+'Subcontract 1'!$M18)^('W2'!$B$20+1)*'W2'!$D$9+(1+'Subcontract 1'!$M18)^('W2'!$B$20+2)*'W2'!$D$10)/'W2'!$D$5*'Subcontract 1'!$E18,0),(IF(AND('Subcontract 1'!$S$4="Multi",'Subcontract 1'!$R$4="PY"),ROUND('Subcontract 1'!$E18*(1+'Subcontract 1'!$M18)/'W2'!$D$5*'W2'!$D$5,0),(IF(AND('Subcontract 1'!$S$4&lt;&gt;"Multi",'Subcontract 1'!$R$4="FY"),ROUND(((1+'Subcontract 1'!$S$4)^('W2'!$B$20+1)*'W2'!$D$9+(1+'Subcontract 1'!$S$4)^('W2'!$B$20+2)*'W2'!$D$10)/'W2'!$D$5*'Subcontract 1'!$E18,0),ROUND('Subcontract 1'!$E18*(1+'Subcontract 1'!$S$4)/'W2'!$D$5*'W2'!$D$5,0)))))))))</f>
        <v>0</v>
      </c>
      <c r="E338" s="300"/>
      <c r="F338" s="302" t="str">
        <f>IF('W2'!$E$5=0,"",IF($C$4=$D$4,(IF(AND('Subcontract 1'!$S$4="Multi",'Subcontract 1'!$R$4="FY"),ROUND(((1+'Subcontract 1'!$M18)^('W2'!$B$20+1)*'W2'!$E$9+(1+'Subcontract 1'!$M18)^('W2'!$B$20+3)*'W2'!$E$10)/'W2'!$E$5*'Subcontract 1'!$E18,0),(IF(AND('Subcontract 1'!$S$4="Multi",'Subcontract 1'!$R$4="PY"),ROUND('Subcontract 1'!$E18*((1+'Subcontract 1'!$M18)^2)/'W2'!$E$5*'W2'!$E$5,0),(IF(AND('Subcontract 1'!$S$4&lt;&gt;"Multi",'Subcontract 1'!$R$4="FY"),ROUND(((1+'Subcontract 1'!$S$4)^('W2'!$B$20+1)*'W2'!$E$9+(1+'Subcontract 1'!$S$4)^('W2'!$B$20+2)*'W2'!$E$10)/'W2'!$E$5*'Subcontract 1'!$E18,0),ROUND('Subcontract 1'!$E18*((1+'Subcontract 1'!$S$4)^2)/'W2'!$E$5*'W2'!$E$5,0))))))),(IF(AND('Subcontract 1'!$S$4="Multi",'Subcontract 1'!$R$4="FY"),ROUND(((1+'Subcontract 1'!$M18)^('W2'!$B$20+2)*'W2'!$E$9+(1+'Subcontract 1'!$M18)^('W2'!$B$20+3)*'W2'!$E$10)/'W2'!$E$5*'Subcontract 1'!$E18,0),(IF(AND('Subcontract 1'!$S$4="Multi",'Subcontract 1'!$R$4="PY"),ROUND('Subcontract 1'!$E18*((1+'Subcontract 1'!$M18)^2)/'W2'!$E$5*'W2'!$E$5,0),(IF(AND('Subcontract 1'!$S$4&lt;&gt;"Multi",'Subcontract 1'!$R$4="FY"),ROUND(((1+'Subcontract 1'!$S$4)^('W2'!$B$20+2)*'W2'!$E$9+(1+'Subcontract 1'!$S$4)^('W2'!$B$20+3)*'W2'!$E$10)/'W2'!$E$5*'Subcontract 1'!$E18,0),ROUND('Subcontract 1'!$E18*((1+'Subcontract 1'!$S$4)^2)/'W2'!$E$5*'W2'!$E$5,0)))))))))</f>
        <v/>
      </c>
      <c r="G338" s="300"/>
      <c r="H338" s="302" t="str">
        <f>IF('W2'!$F$5=0,"",IF($C$4=$D$4,(IF(AND('Subcontract 1'!$S$4="Multi",'Subcontract 1'!$R$4="FY"),ROUND(((1+'Subcontract 1'!$M18)^('W2'!$B$20+2)*'W2'!$F$9+(1+'Subcontract 1'!$M18)^('W2'!$B$20+3)*'W2'!$F$10)/'W2'!$F$5*'Subcontract 1'!$E18,0),(IF(AND('Subcontract 1'!$S$4="Multi",'Subcontract 1'!$R$4="PY"),ROUND('Subcontract 1'!$E18*((1+'Subcontract 1'!$M18)^3)/'W2'!$F$5*'W2'!$F$5,0),(IF(AND('Subcontract 1'!$S$4&lt;&gt;"Multi",'Subcontract 1'!$R$4="FY"),ROUND(((1+'Subcontract 1'!$S$4)^('W2'!$B$20+2)*'W2'!$F$9+(1+'Subcontract 1'!$S$4)^('W2'!$B$20+3)*'W2'!$F$10)/'W2'!$F$5*'Subcontract 1'!$E18,0),ROUND('Subcontract 1'!$E18*((1+'Subcontract 1'!$S$4)^3)/'W2'!$F$5*'W2'!$F$5,0))))))),(IF(AND('Subcontract 1'!$S$4="Multi",'Subcontract 1'!$R$4="FY"),ROUND(((1+'Subcontract 1'!$M18)^('W2'!$B$20+3)*'W2'!$F$9+(1+'Subcontract 1'!$M18)^('W2'!$B$20+4)*'W2'!$F$10)/'W2'!$F$5*'Subcontract 1'!$E18,0),(IF(AND('Subcontract 1'!$S$4="Multi",'Subcontract 1'!$R$4="PY"),ROUND('Subcontract 1'!$E18*((1+'Subcontract 1'!$M18)^3)/'W2'!$F$5*'W2'!$F$5,0),(IF(AND('Subcontract 1'!$S$4&lt;&gt;"Multi",'Subcontract 1'!$R$4="FY"),ROUND(((1+'Subcontract 1'!$S$4)^('W2'!$B$20+3)*'W2'!$F$9+(1+'Subcontract 1'!$S$4)^('W2'!$B$20+4)*'W2'!$F$10)/'W2'!$F$5*'Subcontract 1'!$E18,0),ROUND('Subcontract 1'!$E18*((1+'Subcontract 1'!$S$4)^3)/'W2'!$F$5*'W2'!$F$5,0)))))))))</f>
        <v/>
      </c>
      <c r="I338" s="300"/>
      <c r="J338" s="302" t="str">
        <f>IF('W2'!$G$5=0,"",IF($C$4=$D$4,(IF(AND('Subcontract 1'!$S$4="Multi",'Subcontract 1'!$R$4="FY"),ROUND(((1+'Subcontract 1'!$M18)^('W2'!$B$20+3)*'W2'!$G$9+(1+'Subcontract 1'!$M18)^('W2'!$B$20+4)*'W2'!$G$10)/'W2'!$G$5*'Subcontract 1'!$E18,0),(IF(AND('Subcontract 1'!$S$4="Multi",'Subcontract 1'!$R$4="PY"),ROUND('Subcontract 1'!$E18*((1+'Subcontract 1'!$M18)^4)/'W2'!$G$5*'W2'!$G$5,0),(IF(AND('Subcontract 1'!$S$4&lt;&gt;"Multi",'Subcontract 1'!$R$4="FY"),ROUND(((1+'Subcontract 1'!$S$4)^('W2'!$B$20+3)*'W2'!$G$9+(1+'Subcontract 1'!$S$4)^('W2'!$B$20+4)*'W2'!$G$10)/'W2'!$G$5*'Subcontract 1'!$E18,0),ROUND('Subcontract 1'!$E18*((1+'Subcontract 1'!$S$4)^4)/'W2'!$G$5*'W2'!$G$5,0))))))),(IF(AND('Subcontract 1'!$S$4="Multi",'Subcontract 1'!$R$4="FY"),ROUND(((1+'Subcontract 1'!$M18)^('W2'!$B$20+4)*'W2'!$G$9+(1+'Subcontract 1'!$M18)^('W2'!$B$20+5)*'W2'!$G$10)/'W2'!$G$5*'Subcontract 1'!$E18,0),(IF(AND('Subcontract 1'!$S$4="Multi",'Subcontract 1'!$R$4="PY"),ROUND('Subcontract 1'!$E18*((1+'Subcontract 1'!$M18)^4)/'W2'!$G$5*'W2'!$G$5,0),(IF(AND('Subcontract 1'!$S$4&lt;&gt;"Multi",'Subcontract 1'!$R$4="FY"),ROUND(((1+'Subcontract 1'!$S$4)^('W2'!$B$20+4)*'W2'!$G$9+(1+'Subcontract 1'!$S$4)^('W2'!$B$20+5)*'W2'!$G$10)/'W2'!$G$5*'Subcontract 1'!$E18,0),ROUND('Subcontract 1'!$E18*((1+'Subcontract 1'!$S$4)^4)/'W2'!$G$5*'W2'!$G$5,0)))))))))</f>
        <v/>
      </c>
      <c r="K338" s="300"/>
    </row>
    <row r="339" spans="1:11" x14ac:dyDescent="0.2">
      <c r="A339" s="82" t="e">
        <f>#REF!</f>
        <v>#REF!</v>
      </c>
      <c r="B339" s="302">
        <f>IF('W2'!$C$5=0,"",IF(AND('Subcontract 1'!$S$4="Multi",'Subcontract 1'!$R$4="FY"),ROUND(((1+'Subcontract 1'!$M19)^'W2'!$B$20*'W2'!$C$9+(1+'Subcontract 1'!$M19)^('W2'!$B$20+1)*'W2'!$C$10)/('W2'!$C$5)*'Subcontract 1'!$E19,0),(IF(AND('Subcontract 1'!$S$4="Multi",'Subcontract 1'!$R$4="PY"),ROUND('Subcontract 1'!$E19/('W2'!$C$5)*'W2'!$C$5,0),(IF(AND('Subcontract 1'!$S$4&lt;&gt;"Multi",'Subcontract 1'!$R$4="FY"),ROUND(((1+'Subcontract 1'!$S$4)^'W2'!$B$20*'W2'!$C$9+(1+'Subcontract 1'!$S$4)^('W2'!$B$20+1)*'W2'!$C$10)/'W2'!$C$5*'Subcontract 1'!$E19,0),ROUND('Subcontract 1'!$E19/'W2'!$C$5*'W2'!$C$5,0)))))))</f>
        <v>0</v>
      </c>
      <c r="C339" s="300"/>
      <c r="D339" s="302">
        <f>IF('W2'!$D$5=0,"",IF($C$4=$D$4,(IF(AND('Subcontract 1'!$S$4="Multi",'Subcontract 1'!$R$4="FY"),ROUND(((1+'Subcontract 1'!$M19)^('W2'!$B$20)*'W2'!$D$9+(1+'Subcontract 1'!$M19)^('W2'!$B$20+1)*'W2'!$D$10)/'W2'!$D$5*'Subcontract 1'!$E19,0),(IF(AND('Subcontract 1'!$S$4="Multi",'Subcontract 1'!$R$4="PY"),ROUND('Subcontract 1'!$E19*(1+'Subcontract 1'!$M19)/'W2'!$D$5*'W2'!$D$5,0),(IF(AND('Subcontract 1'!$S$4&lt;&gt;"Multi",'Subcontract 1'!$R$4="FY"),ROUND(((1+'Subcontract 1'!$S$4)^('W2'!$B$20)*'W2'!$D$9+(1+'Subcontract 1'!$S$4)^('W2'!$B$20+1)*'W2'!$D$10)/'W2'!$D$5*'Subcontract 1'!$E19,0),ROUND('Subcontract 1'!$E19*(1+'Subcontract 1'!$S$4)/'W2'!$D$5*'W2'!$D$5,0))))))),(IF(AND('Subcontract 1'!$S$4="Multi",'Subcontract 1'!$R$4="FY"),ROUND(((1+'Subcontract 1'!$M19)^('W2'!$B$20+1)*'W2'!$D$9+(1+'Subcontract 1'!$M19)^('W2'!$B$20+2)*'W2'!$D$10)/'W2'!$D$5*'Subcontract 1'!$E19,0),(IF(AND('Subcontract 1'!$S$4="Multi",'Subcontract 1'!$R$4="PY"),ROUND('Subcontract 1'!$E19*(1+'Subcontract 1'!$M19)/'W2'!$D$5*'W2'!$D$5,0),(IF(AND('Subcontract 1'!$S$4&lt;&gt;"Multi",'Subcontract 1'!$R$4="FY"),ROUND(((1+'Subcontract 1'!$S$4)^('W2'!$B$20+1)*'W2'!$D$9+(1+'Subcontract 1'!$S$4)^('W2'!$B$20+2)*'W2'!$D$10)/'W2'!$D$5*'Subcontract 1'!$E19,0),ROUND('Subcontract 1'!$E19*(1+'Subcontract 1'!$S$4)/'W2'!$D$5*'W2'!$D$5,0)))))))))</f>
        <v>0</v>
      </c>
      <c r="E339" s="300"/>
      <c r="F339" s="302" t="str">
        <f>IF('W2'!$E$5=0,"",IF($C$4=$D$4,(IF(AND('Subcontract 1'!$S$4="Multi",'Subcontract 1'!$R$4="FY"),ROUND(((1+'Subcontract 1'!$M19)^('W2'!$B$20+1)*'W2'!$E$9+(1+'Subcontract 1'!$M19)^('W2'!$B$20+3)*'W2'!$E$10)/'W2'!$E$5*'Subcontract 1'!$E19,0),(IF(AND('Subcontract 1'!$S$4="Multi",'Subcontract 1'!$R$4="PY"),ROUND('Subcontract 1'!$E19*((1+'Subcontract 1'!$M19)^2)/'W2'!$E$5*'W2'!$E$5,0),(IF(AND('Subcontract 1'!$S$4&lt;&gt;"Multi",'Subcontract 1'!$R$4="FY"),ROUND(((1+'Subcontract 1'!$S$4)^('W2'!$B$20+1)*'W2'!$E$9+(1+'Subcontract 1'!$S$4)^('W2'!$B$20+2)*'W2'!$E$10)/'W2'!$E$5*'Subcontract 1'!$E19,0),ROUND('Subcontract 1'!$E19*((1+'Subcontract 1'!$S$4)^2)/'W2'!$E$5*'W2'!$E$5,0))))))),(IF(AND('Subcontract 1'!$S$4="Multi",'Subcontract 1'!$R$4="FY"),ROUND(((1+'Subcontract 1'!$M19)^('W2'!$B$20+2)*'W2'!$E$9+(1+'Subcontract 1'!$M19)^('W2'!$B$20+3)*'W2'!$E$10)/'W2'!$E$5*'Subcontract 1'!$E19,0),(IF(AND('Subcontract 1'!$S$4="Multi",'Subcontract 1'!$R$4="PY"),ROUND('Subcontract 1'!$E19*((1+'Subcontract 1'!$M19)^2)/'W2'!$E$5*'W2'!$E$5,0),(IF(AND('Subcontract 1'!$S$4&lt;&gt;"Multi",'Subcontract 1'!$R$4="FY"),ROUND(((1+'Subcontract 1'!$S$4)^('W2'!$B$20+2)*'W2'!$E$9+(1+'Subcontract 1'!$S$4)^('W2'!$B$20+3)*'W2'!$E$10)/'W2'!$E$5*'Subcontract 1'!$E19,0),ROUND('Subcontract 1'!$E19*((1+'Subcontract 1'!$S$4)^2)/'W2'!$E$5*'W2'!$E$5,0)))))))))</f>
        <v/>
      </c>
      <c r="G339" s="300"/>
      <c r="H339" s="302" t="str">
        <f>IF('W2'!$F$5=0,"",IF($C$4=$D$4,(IF(AND('Subcontract 1'!$S$4="Multi",'Subcontract 1'!$R$4="FY"),ROUND(((1+'Subcontract 1'!$M19)^('W2'!$B$20+2)*'W2'!$F$9+(1+'Subcontract 1'!$M19)^('W2'!$B$20+3)*'W2'!$F$10)/'W2'!$F$5*'Subcontract 1'!$E19,0),(IF(AND('Subcontract 1'!$S$4="Multi",'Subcontract 1'!$R$4="PY"),ROUND('Subcontract 1'!$E19*((1+'Subcontract 1'!$M19)^3)/'W2'!$F$5*'W2'!$F$5,0),(IF(AND('Subcontract 1'!$S$4&lt;&gt;"Multi",'Subcontract 1'!$R$4="FY"),ROUND(((1+'Subcontract 1'!$S$4)^('W2'!$B$20+2)*'W2'!$F$9+(1+'Subcontract 1'!$S$4)^('W2'!$B$20+3)*'W2'!$F$10)/'W2'!$F$5*'Subcontract 1'!$E19,0),ROUND('Subcontract 1'!$E19*((1+'Subcontract 1'!$S$4)^3)/'W2'!$F$5*'W2'!$F$5,0))))))),(IF(AND('Subcontract 1'!$S$4="Multi",'Subcontract 1'!$R$4="FY"),ROUND(((1+'Subcontract 1'!$M19)^('W2'!$B$20+3)*'W2'!$F$9+(1+'Subcontract 1'!$M19)^('W2'!$B$20+4)*'W2'!$F$10)/'W2'!$F$5*'Subcontract 1'!$E19,0),(IF(AND('Subcontract 1'!$S$4="Multi",'Subcontract 1'!$R$4="PY"),ROUND('Subcontract 1'!$E19*((1+'Subcontract 1'!$M19)^3)/'W2'!$F$5*'W2'!$F$5,0),(IF(AND('Subcontract 1'!$S$4&lt;&gt;"Multi",'Subcontract 1'!$R$4="FY"),ROUND(((1+'Subcontract 1'!$S$4)^('W2'!$B$20+3)*'W2'!$F$9+(1+'Subcontract 1'!$S$4)^('W2'!$B$20+4)*'W2'!$F$10)/'W2'!$F$5*'Subcontract 1'!$E19,0),ROUND('Subcontract 1'!$E19*((1+'Subcontract 1'!$S$4)^3)/'W2'!$F$5*'W2'!$F$5,0)))))))))</f>
        <v/>
      </c>
      <c r="I339" s="300"/>
      <c r="J339" s="302" t="str">
        <f>IF('W2'!$G$5=0,"",IF($C$4=$D$4,(IF(AND('Subcontract 1'!$S$4="Multi",'Subcontract 1'!$R$4="FY"),ROUND(((1+'Subcontract 1'!$M19)^('W2'!$B$20+3)*'W2'!$G$9+(1+'Subcontract 1'!$M19)^('W2'!$B$20+4)*'W2'!$G$10)/'W2'!$G$5*'Subcontract 1'!$E19,0),(IF(AND('Subcontract 1'!$S$4="Multi",'Subcontract 1'!$R$4="PY"),ROUND('Subcontract 1'!$E19*((1+'Subcontract 1'!$M19)^4)/'W2'!$G$5*'W2'!$G$5,0),(IF(AND('Subcontract 1'!$S$4&lt;&gt;"Multi",'Subcontract 1'!$R$4="FY"),ROUND(((1+'Subcontract 1'!$S$4)^('W2'!$B$20+3)*'W2'!$G$9+(1+'Subcontract 1'!$S$4)^('W2'!$B$20+4)*'W2'!$G$10)/'W2'!$G$5*'Subcontract 1'!$E19,0),ROUND('Subcontract 1'!$E19*((1+'Subcontract 1'!$S$4)^4)/'W2'!$G$5*'W2'!$G$5,0))))))),(IF(AND('Subcontract 1'!$S$4="Multi",'Subcontract 1'!$R$4="FY"),ROUND(((1+'Subcontract 1'!$M19)^('W2'!$B$20+4)*'W2'!$G$9+(1+'Subcontract 1'!$M19)^('W2'!$B$20+5)*'W2'!$G$10)/'W2'!$G$5*'Subcontract 1'!$E19,0),(IF(AND('Subcontract 1'!$S$4="Multi",'Subcontract 1'!$R$4="PY"),ROUND('Subcontract 1'!$E19*((1+'Subcontract 1'!$M19)^4)/'W2'!$G$5*'W2'!$G$5,0),(IF(AND('Subcontract 1'!$S$4&lt;&gt;"Multi",'Subcontract 1'!$R$4="FY"),ROUND(((1+'Subcontract 1'!$S$4)^('W2'!$B$20+4)*'W2'!$G$9+(1+'Subcontract 1'!$S$4)^('W2'!$B$20+5)*'W2'!$G$10)/'W2'!$G$5*'Subcontract 1'!$E19,0),ROUND('Subcontract 1'!$E19*((1+'Subcontract 1'!$S$4)^4)/'W2'!$G$5*'W2'!$G$5,0)))))))))</f>
        <v/>
      </c>
      <c r="K339" s="300"/>
    </row>
    <row r="340" spans="1:11" x14ac:dyDescent="0.2">
      <c r="A340" s="82" t="e">
        <f>#REF!</f>
        <v>#REF!</v>
      </c>
      <c r="B340" s="302">
        <f>IF('W2'!$C$5=0,"",IF(AND('Subcontract 1'!$S$4="Multi",'Subcontract 1'!$R$4="FY"),ROUND(((1+'Subcontract 1'!$M20)^'W2'!$B$20*'W2'!$C$9+(1+'Subcontract 1'!$M20)^('W2'!$B$20+1)*'W2'!$C$10)/('W2'!$C$5)*'Subcontract 1'!$E20,0),(IF(AND('Subcontract 1'!$S$4="Multi",'Subcontract 1'!$R$4="PY"),ROUND('Subcontract 1'!$E20/('W2'!$C$5)*'W2'!$C$5,0),(IF(AND('Subcontract 1'!$S$4&lt;&gt;"Multi",'Subcontract 1'!$R$4="FY"),ROUND(((1+'Subcontract 1'!$S$4)^'W2'!$B$20*'W2'!$C$9+(1+'Subcontract 1'!$S$4)^('W2'!$B$20+1)*'W2'!$C$10)/'W2'!$C$5*'Subcontract 1'!$E20,0),ROUND('Subcontract 1'!$E20/'W2'!$C$5*'W2'!$C$5,0)))))))</f>
        <v>0</v>
      </c>
      <c r="C340" s="300"/>
      <c r="D340" s="302">
        <f>IF('W2'!$D$5=0,"",IF($C$4=$D$4,(IF(AND('Subcontract 1'!$S$4="Multi",'Subcontract 1'!$R$4="FY"),ROUND(((1+'Subcontract 1'!$M20)^('W2'!$B$20)*'W2'!$D$9+(1+'Subcontract 1'!$M20)^('W2'!$B$20+1)*'W2'!$D$10)/'W2'!$D$5*'Subcontract 1'!$E20,0),(IF(AND('Subcontract 1'!$S$4="Multi",'Subcontract 1'!$R$4="PY"),ROUND('Subcontract 1'!$E20*(1+'Subcontract 1'!$M20)/'W2'!$D$5*'W2'!$D$5,0),(IF(AND('Subcontract 1'!$S$4&lt;&gt;"Multi",'Subcontract 1'!$R$4="FY"),ROUND(((1+'Subcontract 1'!$S$4)^('W2'!$B$20)*'W2'!$D$9+(1+'Subcontract 1'!$S$4)^('W2'!$B$20+1)*'W2'!$D$10)/'W2'!$D$5*'Subcontract 1'!$E20,0),ROUND('Subcontract 1'!$E20*(1+'Subcontract 1'!$S$4)/'W2'!$D$5*'W2'!$D$5,0))))))),(IF(AND('Subcontract 1'!$S$4="Multi",'Subcontract 1'!$R$4="FY"),ROUND(((1+'Subcontract 1'!$M20)^('W2'!$B$20+1)*'W2'!$D$9+(1+'Subcontract 1'!$M20)^('W2'!$B$20+2)*'W2'!$D$10)/'W2'!$D$5*'Subcontract 1'!$E20,0),(IF(AND('Subcontract 1'!$S$4="Multi",'Subcontract 1'!$R$4="PY"),ROUND('Subcontract 1'!$E20*(1+'Subcontract 1'!$M20)/'W2'!$D$5*'W2'!$D$5,0),(IF(AND('Subcontract 1'!$S$4&lt;&gt;"Multi",'Subcontract 1'!$R$4="FY"),ROUND(((1+'Subcontract 1'!$S$4)^('W2'!$B$20+1)*'W2'!$D$9+(1+'Subcontract 1'!$S$4)^('W2'!$B$20+2)*'W2'!$D$10)/'W2'!$D$5*'Subcontract 1'!$E20,0),ROUND('Subcontract 1'!$E20*(1+'Subcontract 1'!$S$4)/'W2'!$D$5*'W2'!$D$5,0)))))))))</f>
        <v>0</v>
      </c>
      <c r="E340" s="300"/>
      <c r="F340" s="302" t="str">
        <f>IF('W2'!$E$5=0,"",IF($C$4=$D$4,(IF(AND('Subcontract 1'!$S$4="Multi",'Subcontract 1'!$R$4="FY"),ROUND(((1+'Subcontract 1'!$M20)^('W2'!$B$20+1)*'W2'!$E$9+(1+'Subcontract 1'!$M20)^('W2'!$B$20+3)*'W2'!$E$10)/'W2'!$E$5*'Subcontract 1'!$E20,0),(IF(AND('Subcontract 1'!$S$4="Multi",'Subcontract 1'!$R$4="PY"),ROUND('Subcontract 1'!$E20*((1+'Subcontract 1'!$M20)^2)/'W2'!$E$5*'W2'!$E$5,0),(IF(AND('Subcontract 1'!$S$4&lt;&gt;"Multi",'Subcontract 1'!$R$4="FY"),ROUND(((1+'Subcontract 1'!$S$4)^('W2'!$B$20+1)*'W2'!$E$9+(1+'Subcontract 1'!$S$4)^('W2'!$B$20+2)*'W2'!$E$10)/'W2'!$E$5*'Subcontract 1'!$E20,0),ROUND('Subcontract 1'!$E20*((1+'Subcontract 1'!$S$4)^2)/'W2'!$E$5*'W2'!$E$5,0))))))),(IF(AND('Subcontract 1'!$S$4="Multi",'Subcontract 1'!$R$4="FY"),ROUND(((1+'Subcontract 1'!$M20)^('W2'!$B$20+2)*'W2'!$E$9+(1+'Subcontract 1'!$M20)^('W2'!$B$20+3)*'W2'!$E$10)/'W2'!$E$5*'Subcontract 1'!$E20,0),(IF(AND('Subcontract 1'!$S$4="Multi",'Subcontract 1'!$R$4="PY"),ROUND('Subcontract 1'!$E20*((1+'Subcontract 1'!$M20)^2)/'W2'!$E$5*'W2'!$E$5,0),(IF(AND('Subcontract 1'!$S$4&lt;&gt;"Multi",'Subcontract 1'!$R$4="FY"),ROUND(((1+'Subcontract 1'!$S$4)^('W2'!$B$20+2)*'W2'!$E$9+(1+'Subcontract 1'!$S$4)^('W2'!$B$20+3)*'W2'!$E$10)/'W2'!$E$5*'Subcontract 1'!$E20,0),ROUND('Subcontract 1'!$E20*((1+'Subcontract 1'!$S$4)^2)/'W2'!$E$5*'W2'!$E$5,0)))))))))</f>
        <v/>
      </c>
      <c r="G340" s="300"/>
      <c r="H340" s="302" t="str">
        <f>IF('W2'!$F$5=0,"",IF($C$4=$D$4,(IF(AND('Subcontract 1'!$S$4="Multi",'Subcontract 1'!$R$4="FY"),ROUND(((1+'Subcontract 1'!$M20)^('W2'!$B$20+2)*'W2'!$F$9+(1+'Subcontract 1'!$M20)^('W2'!$B$20+3)*'W2'!$F$10)/'W2'!$F$5*'Subcontract 1'!$E20,0),(IF(AND('Subcontract 1'!$S$4="Multi",'Subcontract 1'!$R$4="PY"),ROUND('Subcontract 1'!$E20*((1+'Subcontract 1'!$M20)^3)/'W2'!$F$5*'W2'!$F$5,0),(IF(AND('Subcontract 1'!$S$4&lt;&gt;"Multi",'Subcontract 1'!$R$4="FY"),ROUND(((1+'Subcontract 1'!$S$4)^('W2'!$B$20+2)*'W2'!$F$9+(1+'Subcontract 1'!$S$4)^('W2'!$B$20+3)*'W2'!$F$10)/'W2'!$F$5*'Subcontract 1'!$E20,0),ROUND('Subcontract 1'!$E20*((1+'Subcontract 1'!$S$4)^3)/'W2'!$F$5*'W2'!$F$5,0))))))),(IF(AND('Subcontract 1'!$S$4="Multi",'Subcontract 1'!$R$4="FY"),ROUND(((1+'Subcontract 1'!$M20)^('W2'!$B$20+3)*'W2'!$F$9+(1+'Subcontract 1'!$M20)^('W2'!$B$20+4)*'W2'!$F$10)/'W2'!$F$5*'Subcontract 1'!$E20,0),(IF(AND('Subcontract 1'!$S$4="Multi",'Subcontract 1'!$R$4="PY"),ROUND('Subcontract 1'!$E20*((1+'Subcontract 1'!$M20)^3)/'W2'!$F$5*'W2'!$F$5,0),(IF(AND('Subcontract 1'!$S$4&lt;&gt;"Multi",'Subcontract 1'!$R$4="FY"),ROUND(((1+'Subcontract 1'!$S$4)^('W2'!$B$20+3)*'W2'!$F$9+(1+'Subcontract 1'!$S$4)^('W2'!$B$20+4)*'W2'!$F$10)/'W2'!$F$5*'Subcontract 1'!$E20,0),ROUND('Subcontract 1'!$E20*((1+'Subcontract 1'!$S$4)^3)/'W2'!$F$5*'W2'!$F$5,0)))))))))</f>
        <v/>
      </c>
      <c r="I340" s="300"/>
      <c r="J340" s="302" t="str">
        <f>IF('W2'!$G$5=0,"",IF($C$4=$D$4,(IF(AND('Subcontract 1'!$S$4="Multi",'Subcontract 1'!$R$4="FY"),ROUND(((1+'Subcontract 1'!$M20)^('W2'!$B$20+3)*'W2'!$G$9+(1+'Subcontract 1'!$M20)^('W2'!$B$20+4)*'W2'!$G$10)/'W2'!$G$5*'Subcontract 1'!$E20,0),(IF(AND('Subcontract 1'!$S$4="Multi",'Subcontract 1'!$R$4="PY"),ROUND('Subcontract 1'!$E20*((1+'Subcontract 1'!$M20)^4)/'W2'!$G$5*'W2'!$G$5,0),(IF(AND('Subcontract 1'!$S$4&lt;&gt;"Multi",'Subcontract 1'!$R$4="FY"),ROUND(((1+'Subcontract 1'!$S$4)^('W2'!$B$20+3)*'W2'!$G$9+(1+'Subcontract 1'!$S$4)^('W2'!$B$20+4)*'W2'!$G$10)/'W2'!$G$5*'Subcontract 1'!$E20,0),ROUND('Subcontract 1'!$E20*((1+'Subcontract 1'!$S$4)^4)/'W2'!$G$5*'W2'!$G$5,0))))))),(IF(AND('Subcontract 1'!$S$4="Multi",'Subcontract 1'!$R$4="FY"),ROUND(((1+'Subcontract 1'!$M20)^('W2'!$B$20+4)*'W2'!$G$9+(1+'Subcontract 1'!$M20)^('W2'!$B$20+5)*'W2'!$G$10)/'W2'!$G$5*'Subcontract 1'!$E20,0),(IF(AND('Subcontract 1'!$S$4="Multi",'Subcontract 1'!$R$4="PY"),ROUND('Subcontract 1'!$E20*((1+'Subcontract 1'!$M20)^4)/'W2'!$G$5*'W2'!$G$5,0),(IF(AND('Subcontract 1'!$S$4&lt;&gt;"Multi",'Subcontract 1'!$R$4="FY"),ROUND(((1+'Subcontract 1'!$S$4)^('W2'!$B$20+4)*'W2'!$G$9+(1+'Subcontract 1'!$S$4)^('W2'!$B$20+5)*'W2'!$G$10)/'W2'!$G$5*'Subcontract 1'!$E20,0),ROUND('Subcontract 1'!$E20*((1+'Subcontract 1'!$S$4)^4)/'W2'!$G$5*'W2'!$G$5,0)))))))))</f>
        <v/>
      </c>
      <c r="K340" s="300"/>
    </row>
    <row r="341" spans="1:11" x14ac:dyDescent="0.2">
      <c r="A341" s="82" t="e">
        <f>#REF!</f>
        <v>#REF!</v>
      </c>
      <c r="B341" s="302">
        <f>IF('W2'!$C$5=0,"",IF(AND('Subcontract 1'!$S$4="Multi",'Subcontract 1'!$R$4="FY"),ROUND(((1+'Subcontract 1'!$M21)^'W2'!$B$20*'W2'!$C$9+(1+'Subcontract 1'!$M21)^('W2'!$B$20+1)*'W2'!$C$10)/('W2'!$C$5)*'Subcontract 1'!$E21,0),(IF(AND('Subcontract 1'!$S$4="Multi",'Subcontract 1'!$R$4="PY"),ROUND('Subcontract 1'!$E21/('W2'!$C$5)*'W2'!$C$5,0),(IF(AND('Subcontract 1'!$S$4&lt;&gt;"Multi",'Subcontract 1'!$R$4="FY"),ROUND(((1+'Subcontract 1'!$S$4)^'W2'!$B$20*'W2'!$C$9+(1+'Subcontract 1'!$S$4)^('W2'!$B$20+1)*'W2'!$C$10)/'W2'!$C$5*'Subcontract 1'!$E21,0),ROUND('Subcontract 1'!$E21/'W2'!$C$5*'W2'!$C$5,0)))))))</f>
        <v>0</v>
      </c>
      <c r="C341" s="300"/>
      <c r="D341" s="302">
        <f>IF('W2'!$D$5=0,"",IF($C$4=$D$4,(IF(AND('Subcontract 1'!$S$4="Multi",'Subcontract 1'!$R$4="FY"),ROUND(((1+'Subcontract 1'!$M21)^('W2'!$B$20)*'W2'!$D$9+(1+'Subcontract 1'!$M21)^('W2'!$B$20+1)*'W2'!$D$10)/'W2'!$D$5*'Subcontract 1'!$E21,0),(IF(AND('Subcontract 1'!$S$4="Multi",'Subcontract 1'!$R$4="PY"),ROUND('Subcontract 1'!$E21*(1+'Subcontract 1'!$M21)/'W2'!$D$5*'W2'!$D$5,0),(IF(AND('Subcontract 1'!$S$4&lt;&gt;"Multi",'Subcontract 1'!$R$4="FY"),ROUND(((1+'Subcontract 1'!$S$4)^('W2'!$B$20)*'W2'!$D$9+(1+'Subcontract 1'!$S$4)^('W2'!$B$20+1)*'W2'!$D$10)/'W2'!$D$5*'Subcontract 1'!$E21,0),ROUND('Subcontract 1'!$E21*(1+'Subcontract 1'!$S$4)/'W2'!$D$5*'W2'!$D$5,0))))))),(IF(AND('Subcontract 1'!$S$4="Multi",'Subcontract 1'!$R$4="FY"),ROUND(((1+'Subcontract 1'!$M21)^('W2'!$B$20+1)*'W2'!$D$9+(1+'Subcontract 1'!$M21)^('W2'!$B$20+2)*'W2'!$D$10)/'W2'!$D$5*'Subcontract 1'!$E21,0),(IF(AND('Subcontract 1'!$S$4="Multi",'Subcontract 1'!$R$4="PY"),ROUND('Subcontract 1'!$E21*(1+'Subcontract 1'!$M21)/'W2'!$D$5*'W2'!$D$5,0),(IF(AND('Subcontract 1'!$S$4&lt;&gt;"Multi",'Subcontract 1'!$R$4="FY"),ROUND(((1+'Subcontract 1'!$S$4)^('W2'!$B$20+1)*'W2'!$D$9+(1+'Subcontract 1'!$S$4)^('W2'!$B$20+2)*'W2'!$D$10)/'W2'!$D$5*'Subcontract 1'!$E21,0),ROUND('Subcontract 1'!$E21*(1+'Subcontract 1'!$S$4)/'W2'!$D$5*'W2'!$D$5,0)))))))))</f>
        <v>0</v>
      </c>
      <c r="E341" s="300"/>
      <c r="F341" s="302" t="str">
        <f>IF('W2'!$E$5=0,"",IF($C$4=$D$4,(IF(AND('Subcontract 1'!$S$4="Multi",'Subcontract 1'!$R$4="FY"),ROUND(((1+'Subcontract 1'!$M21)^('W2'!$B$20+1)*'W2'!$E$9+(1+'Subcontract 1'!$M21)^('W2'!$B$20+3)*'W2'!$E$10)/'W2'!$E$5*'Subcontract 1'!$E21,0),(IF(AND('Subcontract 1'!$S$4="Multi",'Subcontract 1'!$R$4="PY"),ROUND('Subcontract 1'!$E21*((1+'Subcontract 1'!$M21)^2)/'W2'!$E$5*'W2'!$E$5,0),(IF(AND('Subcontract 1'!$S$4&lt;&gt;"Multi",'Subcontract 1'!$R$4="FY"),ROUND(((1+'Subcontract 1'!$S$4)^('W2'!$B$20+1)*'W2'!$E$9+(1+'Subcontract 1'!$S$4)^('W2'!$B$20+2)*'W2'!$E$10)/'W2'!$E$5*'Subcontract 1'!$E21,0),ROUND('Subcontract 1'!$E21*((1+'Subcontract 1'!$S$4)^2)/'W2'!$E$5*'W2'!$E$5,0))))))),(IF(AND('Subcontract 1'!$S$4="Multi",'Subcontract 1'!$R$4="FY"),ROUND(((1+'Subcontract 1'!$M21)^('W2'!$B$20+2)*'W2'!$E$9+(1+'Subcontract 1'!$M21)^('W2'!$B$20+3)*'W2'!$E$10)/'W2'!$E$5*'Subcontract 1'!$E21,0),(IF(AND('Subcontract 1'!$S$4="Multi",'Subcontract 1'!$R$4="PY"),ROUND('Subcontract 1'!$E21*((1+'Subcontract 1'!$M21)^2)/'W2'!$E$5*'W2'!$E$5,0),(IF(AND('Subcontract 1'!$S$4&lt;&gt;"Multi",'Subcontract 1'!$R$4="FY"),ROUND(((1+'Subcontract 1'!$S$4)^('W2'!$B$20+2)*'W2'!$E$9+(1+'Subcontract 1'!$S$4)^('W2'!$B$20+3)*'W2'!$E$10)/'W2'!$E$5*'Subcontract 1'!$E21,0),ROUND('Subcontract 1'!$E21*((1+'Subcontract 1'!$S$4)^2)/'W2'!$E$5*'W2'!$E$5,0)))))))))</f>
        <v/>
      </c>
      <c r="G341" s="300"/>
      <c r="H341" s="302" t="str">
        <f>IF('W2'!$F$5=0,"",IF($C$4=$D$4,(IF(AND('Subcontract 1'!$S$4="Multi",'Subcontract 1'!$R$4="FY"),ROUND(((1+'Subcontract 1'!$M21)^('W2'!$B$20+2)*'W2'!$F$9+(1+'Subcontract 1'!$M21)^('W2'!$B$20+3)*'W2'!$F$10)/'W2'!$F$5*'Subcontract 1'!$E21,0),(IF(AND('Subcontract 1'!$S$4="Multi",'Subcontract 1'!$R$4="PY"),ROUND('Subcontract 1'!$E21*((1+'Subcontract 1'!$M21)^3)/'W2'!$F$5*'W2'!$F$5,0),(IF(AND('Subcontract 1'!$S$4&lt;&gt;"Multi",'Subcontract 1'!$R$4="FY"),ROUND(((1+'Subcontract 1'!$S$4)^('W2'!$B$20+2)*'W2'!$F$9+(1+'Subcontract 1'!$S$4)^('W2'!$B$20+3)*'W2'!$F$10)/'W2'!$F$5*'Subcontract 1'!$E21,0),ROUND('Subcontract 1'!$E21*((1+'Subcontract 1'!$S$4)^3)/'W2'!$F$5*'W2'!$F$5,0))))))),(IF(AND('Subcontract 1'!$S$4="Multi",'Subcontract 1'!$R$4="FY"),ROUND(((1+'Subcontract 1'!$M21)^('W2'!$B$20+3)*'W2'!$F$9+(1+'Subcontract 1'!$M21)^('W2'!$B$20+4)*'W2'!$F$10)/'W2'!$F$5*'Subcontract 1'!$E21,0),(IF(AND('Subcontract 1'!$S$4="Multi",'Subcontract 1'!$R$4="PY"),ROUND('Subcontract 1'!$E21*((1+'Subcontract 1'!$M21)^3)/'W2'!$F$5*'W2'!$F$5,0),(IF(AND('Subcontract 1'!$S$4&lt;&gt;"Multi",'Subcontract 1'!$R$4="FY"),ROUND(((1+'Subcontract 1'!$S$4)^('W2'!$B$20+3)*'W2'!$F$9+(1+'Subcontract 1'!$S$4)^('W2'!$B$20+4)*'W2'!$F$10)/'W2'!$F$5*'Subcontract 1'!$E21,0),ROUND('Subcontract 1'!$E21*((1+'Subcontract 1'!$S$4)^3)/'W2'!$F$5*'W2'!$F$5,0)))))))))</f>
        <v/>
      </c>
      <c r="I341" s="300"/>
      <c r="J341" s="302" t="str">
        <f>IF('W2'!$G$5=0,"",IF($C$4=$D$4,(IF(AND('Subcontract 1'!$S$4="Multi",'Subcontract 1'!$R$4="FY"),ROUND(((1+'Subcontract 1'!$M21)^('W2'!$B$20+3)*'W2'!$G$9+(1+'Subcontract 1'!$M21)^('W2'!$B$20+4)*'W2'!$G$10)/'W2'!$G$5*'Subcontract 1'!$E21,0),(IF(AND('Subcontract 1'!$S$4="Multi",'Subcontract 1'!$R$4="PY"),ROUND('Subcontract 1'!$E21*((1+'Subcontract 1'!$M21)^4)/'W2'!$G$5*'W2'!$G$5,0),(IF(AND('Subcontract 1'!$S$4&lt;&gt;"Multi",'Subcontract 1'!$R$4="FY"),ROUND(((1+'Subcontract 1'!$S$4)^('W2'!$B$20+3)*'W2'!$G$9+(1+'Subcontract 1'!$S$4)^('W2'!$B$20+4)*'W2'!$G$10)/'W2'!$G$5*'Subcontract 1'!$E21,0),ROUND('Subcontract 1'!$E21*((1+'Subcontract 1'!$S$4)^4)/'W2'!$G$5*'W2'!$G$5,0))))))),(IF(AND('Subcontract 1'!$S$4="Multi",'Subcontract 1'!$R$4="FY"),ROUND(((1+'Subcontract 1'!$M21)^('W2'!$B$20+4)*'W2'!$G$9+(1+'Subcontract 1'!$M21)^('W2'!$B$20+5)*'W2'!$G$10)/'W2'!$G$5*'Subcontract 1'!$E21,0),(IF(AND('Subcontract 1'!$S$4="Multi",'Subcontract 1'!$R$4="PY"),ROUND('Subcontract 1'!$E21*((1+'Subcontract 1'!$M21)^4)/'W2'!$G$5*'W2'!$G$5,0),(IF(AND('Subcontract 1'!$S$4&lt;&gt;"Multi",'Subcontract 1'!$R$4="FY"),ROUND(((1+'Subcontract 1'!$S$4)^('W2'!$B$20+4)*'W2'!$G$9+(1+'Subcontract 1'!$S$4)^('W2'!$B$20+5)*'W2'!$G$10)/'W2'!$G$5*'Subcontract 1'!$E21,0),ROUND('Subcontract 1'!$E21*((1+'Subcontract 1'!$S$4)^4)/'W2'!$G$5*'W2'!$G$5,0)))))))))</f>
        <v/>
      </c>
      <c r="K341" s="300"/>
    </row>
    <row r="342" spans="1:11" x14ac:dyDescent="0.2">
      <c r="A342" s="82" t="e">
        <f>#REF!</f>
        <v>#REF!</v>
      </c>
      <c r="B342" s="302">
        <f>IF('W2'!$C$5=0,"",IF(AND('Subcontract 1'!$S$4="Multi",'Subcontract 1'!$R$4="FY"),ROUND(((1+'Subcontract 1'!$M22)^'W2'!$B$20*'W2'!$C$9+(1+'Subcontract 1'!$M22)^('W2'!$B$20+1)*'W2'!$C$10)/('W2'!$C$5)*'Subcontract 1'!$E22,0),(IF(AND('Subcontract 1'!$S$4="Multi",'Subcontract 1'!$R$4="PY"),ROUND('Subcontract 1'!$E22/('W2'!$C$5)*'W2'!$C$5,0),(IF(AND('Subcontract 1'!$S$4&lt;&gt;"Multi",'Subcontract 1'!$R$4="FY"),ROUND(((1+'Subcontract 1'!$S$4)^'W2'!$B$20*'W2'!$C$9+(1+'Subcontract 1'!$S$4)^('W2'!$B$20+1)*'W2'!$C$10)/'W2'!$C$5*'Subcontract 1'!$E22,0),ROUND('Subcontract 1'!$E22/'W2'!$C$5*'W2'!$C$5,0)))))))</f>
        <v>0</v>
      </c>
      <c r="C342" s="300"/>
      <c r="D342" s="302">
        <f>IF('W2'!$D$5=0,"",IF($C$4=$D$4,(IF(AND('Subcontract 1'!$S$4="Multi",'Subcontract 1'!$R$4="FY"),ROUND(((1+'Subcontract 1'!$M22)^('W2'!$B$20)*'W2'!$D$9+(1+'Subcontract 1'!$M22)^('W2'!$B$20+1)*'W2'!$D$10)/'W2'!$D$5*'Subcontract 1'!$E22,0),(IF(AND('Subcontract 1'!$S$4="Multi",'Subcontract 1'!$R$4="PY"),ROUND('Subcontract 1'!$E22*(1+'Subcontract 1'!$M22)/'W2'!$D$5*'W2'!$D$5,0),(IF(AND('Subcontract 1'!$S$4&lt;&gt;"Multi",'Subcontract 1'!$R$4="FY"),ROUND(((1+'Subcontract 1'!$S$4)^('W2'!$B$20)*'W2'!$D$9+(1+'Subcontract 1'!$S$4)^('W2'!$B$20+1)*'W2'!$D$10)/'W2'!$D$5*'Subcontract 1'!$E22,0),ROUND('Subcontract 1'!$E22*(1+'Subcontract 1'!$S$4)/'W2'!$D$5*'W2'!$D$5,0))))))),(IF(AND('Subcontract 1'!$S$4="Multi",'Subcontract 1'!$R$4="FY"),ROUND(((1+'Subcontract 1'!$M22)^('W2'!$B$20+1)*'W2'!$D$9+(1+'Subcontract 1'!$M22)^('W2'!$B$20+2)*'W2'!$D$10)/'W2'!$D$5*'Subcontract 1'!$E22,0),(IF(AND('Subcontract 1'!$S$4="Multi",'Subcontract 1'!$R$4="PY"),ROUND('Subcontract 1'!$E22*(1+'Subcontract 1'!$M22)/'W2'!$D$5*'W2'!$D$5,0),(IF(AND('Subcontract 1'!$S$4&lt;&gt;"Multi",'Subcontract 1'!$R$4="FY"),ROUND(((1+'Subcontract 1'!$S$4)^('W2'!$B$20+1)*'W2'!$D$9+(1+'Subcontract 1'!$S$4)^('W2'!$B$20+2)*'W2'!$D$10)/'W2'!$D$5*'Subcontract 1'!$E22,0),ROUND('Subcontract 1'!$E22*(1+'Subcontract 1'!$S$4)/'W2'!$D$5*'W2'!$D$5,0)))))))))</f>
        <v>0</v>
      </c>
      <c r="E342" s="300"/>
      <c r="F342" s="302" t="str">
        <f>IF('W2'!$E$5=0,"",IF($C$4=$D$4,(IF(AND('Subcontract 1'!$S$4="Multi",'Subcontract 1'!$R$4="FY"),ROUND(((1+'Subcontract 1'!$M22)^('W2'!$B$20+1)*'W2'!$E$9+(1+'Subcontract 1'!$M22)^('W2'!$B$20+3)*'W2'!$E$10)/'W2'!$E$5*'Subcontract 1'!$E22,0),(IF(AND('Subcontract 1'!$S$4="Multi",'Subcontract 1'!$R$4="PY"),ROUND('Subcontract 1'!$E22*((1+'Subcontract 1'!$M22)^2)/'W2'!$E$5*'W2'!$E$5,0),(IF(AND('Subcontract 1'!$S$4&lt;&gt;"Multi",'Subcontract 1'!$R$4="FY"),ROUND(((1+'Subcontract 1'!$S$4)^('W2'!$B$20+1)*'W2'!$E$9+(1+'Subcontract 1'!$S$4)^('W2'!$B$20+2)*'W2'!$E$10)/'W2'!$E$5*'Subcontract 1'!$E22,0),ROUND('Subcontract 1'!$E22*((1+'Subcontract 1'!$S$4)^2)/'W2'!$E$5*'W2'!$E$5,0))))))),(IF(AND('Subcontract 1'!$S$4="Multi",'Subcontract 1'!$R$4="FY"),ROUND(((1+'Subcontract 1'!$M22)^('W2'!$B$20+2)*'W2'!$E$9+(1+'Subcontract 1'!$M22)^('W2'!$B$20+3)*'W2'!$E$10)/'W2'!$E$5*'Subcontract 1'!$E22,0),(IF(AND('Subcontract 1'!$S$4="Multi",'Subcontract 1'!$R$4="PY"),ROUND('Subcontract 1'!$E22*((1+'Subcontract 1'!$M22)^2)/'W2'!$E$5*'W2'!$E$5,0),(IF(AND('Subcontract 1'!$S$4&lt;&gt;"Multi",'Subcontract 1'!$R$4="FY"),ROUND(((1+'Subcontract 1'!$S$4)^('W2'!$B$20+2)*'W2'!$E$9+(1+'Subcontract 1'!$S$4)^('W2'!$B$20+3)*'W2'!$E$10)/'W2'!$E$5*'Subcontract 1'!$E22,0),ROUND('Subcontract 1'!$E22*((1+'Subcontract 1'!$S$4)^2)/'W2'!$E$5*'W2'!$E$5,0)))))))))</f>
        <v/>
      </c>
      <c r="G342" s="300"/>
      <c r="H342" s="302" t="str">
        <f>IF('W2'!$F$5=0,"",IF($C$4=$D$4,(IF(AND('Subcontract 1'!$S$4="Multi",'Subcontract 1'!$R$4="FY"),ROUND(((1+'Subcontract 1'!$M22)^('W2'!$B$20+2)*'W2'!$F$9+(1+'Subcontract 1'!$M22)^('W2'!$B$20+3)*'W2'!$F$10)/'W2'!$F$5*'Subcontract 1'!$E22,0),(IF(AND('Subcontract 1'!$S$4="Multi",'Subcontract 1'!$R$4="PY"),ROUND('Subcontract 1'!$E22*((1+'Subcontract 1'!$M22)^3)/'W2'!$F$5*'W2'!$F$5,0),(IF(AND('Subcontract 1'!$S$4&lt;&gt;"Multi",'Subcontract 1'!$R$4="FY"),ROUND(((1+'Subcontract 1'!$S$4)^('W2'!$B$20+2)*'W2'!$F$9+(1+'Subcontract 1'!$S$4)^('W2'!$B$20+3)*'W2'!$F$10)/'W2'!$F$5*'Subcontract 1'!$E22,0),ROUND('Subcontract 1'!$E22*((1+'Subcontract 1'!$S$4)^3)/'W2'!$F$5*'W2'!$F$5,0))))))),(IF(AND('Subcontract 1'!$S$4="Multi",'Subcontract 1'!$R$4="FY"),ROUND(((1+'Subcontract 1'!$M22)^('W2'!$B$20+3)*'W2'!$F$9+(1+'Subcontract 1'!$M22)^('W2'!$B$20+4)*'W2'!$F$10)/'W2'!$F$5*'Subcontract 1'!$E22,0),(IF(AND('Subcontract 1'!$S$4="Multi",'Subcontract 1'!$R$4="PY"),ROUND('Subcontract 1'!$E22*((1+'Subcontract 1'!$M22)^3)/'W2'!$F$5*'W2'!$F$5,0),(IF(AND('Subcontract 1'!$S$4&lt;&gt;"Multi",'Subcontract 1'!$R$4="FY"),ROUND(((1+'Subcontract 1'!$S$4)^('W2'!$B$20+3)*'W2'!$F$9+(1+'Subcontract 1'!$S$4)^('W2'!$B$20+4)*'W2'!$F$10)/'W2'!$F$5*'Subcontract 1'!$E22,0),ROUND('Subcontract 1'!$E22*((1+'Subcontract 1'!$S$4)^3)/'W2'!$F$5*'W2'!$F$5,0)))))))))</f>
        <v/>
      </c>
      <c r="I342" s="300"/>
      <c r="J342" s="302" t="str">
        <f>IF('W2'!$G$5=0,"",IF($C$4=$D$4,(IF(AND('Subcontract 1'!$S$4="Multi",'Subcontract 1'!$R$4="FY"),ROUND(((1+'Subcontract 1'!$M22)^('W2'!$B$20+3)*'W2'!$G$9+(1+'Subcontract 1'!$M22)^('W2'!$B$20+4)*'W2'!$G$10)/'W2'!$G$5*'Subcontract 1'!$E22,0),(IF(AND('Subcontract 1'!$S$4="Multi",'Subcontract 1'!$R$4="PY"),ROUND('Subcontract 1'!$E22*((1+'Subcontract 1'!$M22)^4)/'W2'!$G$5*'W2'!$G$5,0),(IF(AND('Subcontract 1'!$S$4&lt;&gt;"Multi",'Subcontract 1'!$R$4="FY"),ROUND(((1+'Subcontract 1'!$S$4)^('W2'!$B$20+3)*'W2'!$G$9+(1+'Subcontract 1'!$S$4)^('W2'!$B$20+4)*'W2'!$G$10)/'W2'!$G$5*'Subcontract 1'!$E22,0),ROUND('Subcontract 1'!$E22*((1+'Subcontract 1'!$S$4)^4)/'W2'!$G$5*'W2'!$G$5,0))))))),(IF(AND('Subcontract 1'!$S$4="Multi",'Subcontract 1'!$R$4="FY"),ROUND(((1+'Subcontract 1'!$M22)^('W2'!$B$20+4)*'W2'!$G$9+(1+'Subcontract 1'!$M22)^('W2'!$B$20+5)*'W2'!$G$10)/'W2'!$G$5*'Subcontract 1'!$E22,0),(IF(AND('Subcontract 1'!$S$4="Multi",'Subcontract 1'!$R$4="PY"),ROUND('Subcontract 1'!$E22*((1+'Subcontract 1'!$M22)^4)/'W2'!$G$5*'W2'!$G$5,0),(IF(AND('Subcontract 1'!$S$4&lt;&gt;"Multi",'Subcontract 1'!$R$4="FY"),ROUND(((1+'Subcontract 1'!$S$4)^('W2'!$B$20+4)*'W2'!$G$9+(1+'Subcontract 1'!$S$4)^('W2'!$B$20+5)*'W2'!$G$10)/'W2'!$G$5*'Subcontract 1'!$E22,0),ROUND('Subcontract 1'!$E22*((1+'Subcontract 1'!$S$4)^4)/'W2'!$G$5*'W2'!$G$5,0)))))))))</f>
        <v/>
      </c>
      <c r="K342" s="300"/>
    </row>
    <row r="343" spans="1:11" x14ac:dyDescent="0.2">
      <c r="A343" s="82" t="e">
        <f>#REF!</f>
        <v>#REF!</v>
      </c>
      <c r="B343" s="302">
        <f>IF('W2'!$C$5=0,"",IF(AND('Subcontract 1'!$S$4="Multi",'Subcontract 1'!$R$4="FY"),ROUND(((1+'Subcontract 1'!$M23)^'W2'!$B$20*'W2'!$C$9+(1+'Subcontract 1'!$M23)^('W2'!$B$20+1)*'W2'!$C$10)/('W2'!$C$5)*'Subcontract 1'!$E23,0),(IF(AND('Subcontract 1'!$S$4="Multi",'Subcontract 1'!$R$4="PY"),ROUND('Subcontract 1'!$E23/('W2'!$C$5)*'W2'!$C$5,0),(IF(AND('Subcontract 1'!$S$4&lt;&gt;"Multi",'Subcontract 1'!$R$4="FY"),ROUND(((1+'Subcontract 1'!$S$4)^'W2'!$B$20*'W2'!$C$9+(1+'Subcontract 1'!$S$4)^('W2'!$B$20+1)*'W2'!$C$10)/'W2'!$C$5*'Subcontract 1'!$E23,0),ROUND('Subcontract 1'!$E23/'W2'!$C$5*'W2'!$C$5,0)))))))</f>
        <v>0</v>
      </c>
      <c r="C343" s="300"/>
      <c r="D343" s="302">
        <f>IF('W2'!$D$5=0,"",IF($C$4=$D$4,(IF(AND('Subcontract 1'!$S$4="Multi",'Subcontract 1'!$R$4="FY"),ROUND(((1+'Subcontract 1'!$M23)^('W2'!$B$20)*'W2'!$D$9+(1+'Subcontract 1'!$M23)^('W2'!$B$20+1)*'W2'!$D$10)/'W2'!$D$5*'Subcontract 1'!$E23,0),(IF(AND('Subcontract 1'!$S$4="Multi",'Subcontract 1'!$R$4="PY"),ROUND('Subcontract 1'!$E23*(1+'Subcontract 1'!$M23)/'W2'!$D$5*'W2'!$D$5,0),(IF(AND('Subcontract 1'!$S$4&lt;&gt;"Multi",'Subcontract 1'!$R$4="FY"),ROUND(((1+'Subcontract 1'!$S$4)^('W2'!$B$20)*'W2'!$D$9+(1+'Subcontract 1'!$S$4)^('W2'!$B$20+1)*'W2'!$D$10)/'W2'!$D$5*'Subcontract 1'!$E23,0),ROUND('Subcontract 1'!$E23*(1+'Subcontract 1'!$S$4)/'W2'!$D$5*'W2'!$D$5,0))))))),(IF(AND('Subcontract 1'!$S$4="Multi",'Subcontract 1'!$R$4="FY"),ROUND(((1+'Subcontract 1'!$M23)^('W2'!$B$20+1)*'W2'!$D$9+(1+'Subcontract 1'!$M23)^('W2'!$B$20+2)*'W2'!$D$10)/'W2'!$D$5*'Subcontract 1'!$E23,0),(IF(AND('Subcontract 1'!$S$4="Multi",'Subcontract 1'!$R$4="PY"),ROUND('Subcontract 1'!$E23*(1+'Subcontract 1'!$M23)/'W2'!$D$5*'W2'!$D$5,0),(IF(AND('Subcontract 1'!$S$4&lt;&gt;"Multi",'Subcontract 1'!$R$4="FY"),ROUND(((1+'Subcontract 1'!$S$4)^('W2'!$B$20+1)*'W2'!$D$9+(1+'Subcontract 1'!$S$4)^('W2'!$B$20+2)*'W2'!$D$10)/'W2'!$D$5*'Subcontract 1'!$E23,0),ROUND('Subcontract 1'!$E23*(1+'Subcontract 1'!$S$4)/'W2'!$D$5*'W2'!$D$5,0)))))))))</f>
        <v>0</v>
      </c>
      <c r="E343" s="300"/>
      <c r="F343" s="302" t="str">
        <f>IF('W2'!$E$5=0,"",IF($C$4=$D$4,(IF(AND('Subcontract 1'!$S$4="Multi",'Subcontract 1'!$R$4="FY"),ROUND(((1+'Subcontract 1'!$M23)^('W2'!$B$20+1)*'W2'!$E$9+(1+'Subcontract 1'!$M23)^('W2'!$B$20+3)*'W2'!$E$10)/'W2'!$E$5*'Subcontract 1'!$E23,0),(IF(AND('Subcontract 1'!$S$4="Multi",'Subcontract 1'!$R$4="PY"),ROUND('Subcontract 1'!$E23*((1+'Subcontract 1'!$M23)^2)/'W2'!$E$5*'W2'!$E$5,0),(IF(AND('Subcontract 1'!$S$4&lt;&gt;"Multi",'Subcontract 1'!$R$4="FY"),ROUND(((1+'Subcontract 1'!$S$4)^('W2'!$B$20+1)*'W2'!$E$9+(1+'Subcontract 1'!$S$4)^('W2'!$B$20+2)*'W2'!$E$10)/'W2'!$E$5*'Subcontract 1'!$E23,0),ROUND('Subcontract 1'!$E23*((1+'Subcontract 1'!$S$4)^2)/'W2'!$E$5*'W2'!$E$5,0))))))),(IF(AND('Subcontract 1'!$S$4="Multi",'Subcontract 1'!$R$4="FY"),ROUND(((1+'Subcontract 1'!$M23)^('W2'!$B$20+2)*'W2'!$E$9+(1+'Subcontract 1'!$M23)^('W2'!$B$20+3)*'W2'!$E$10)/'W2'!$E$5*'Subcontract 1'!$E23,0),(IF(AND('Subcontract 1'!$S$4="Multi",'Subcontract 1'!$R$4="PY"),ROUND('Subcontract 1'!$E23*((1+'Subcontract 1'!$M23)^2)/'W2'!$E$5*'W2'!$E$5,0),(IF(AND('Subcontract 1'!$S$4&lt;&gt;"Multi",'Subcontract 1'!$R$4="FY"),ROUND(((1+'Subcontract 1'!$S$4)^('W2'!$B$20+2)*'W2'!$E$9+(1+'Subcontract 1'!$S$4)^('W2'!$B$20+3)*'W2'!$E$10)/'W2'!$E$5*'Subcontract 1'!$E23,0),ROUND('Subcontract 1'!$E23*((1+'Subcontract 1'!$S$4)^2)/'W2'!$E$5*'W2'!$E$5,0)))))))))</f>
        <v/>
      </c>
      <c r="G343" s="300"/>
      <c r="H343" s="302" t="str">
        <f>IF('W2'!$F$5=0,"",IF($C$4=$D$4,(IF(AND('Subcontract 1'!$S$4="Multi",'Subcontract 1'!$R$4="FY"),ROUND(((1+'Subcontract 1'!$M23)^('W2'!$B$20+2)*'W2'!$F$9+(1+'Subcontract 1'!$M23)^('W2'!$B$20+3)*'W2'!$F$10)/'W2'!$F$5*'Subcontract 1'!$E23,0),(IF(AND('Subcontract 1'!$S$4="Multi",'Subcontract 1'!$R$4="PY"),ROUND('Subcontract 1'!$E23*((1+'Subcontract 1'!$M23)^3)/'W2'!$F$5*'W2'!$F$5,0),(IF(AND('Subcontract 1'!$S$4&lt;&gt;"Multi",'Subcontract 1'!$R$4="FY"),ROUND(((1+'Subcontract 1'!$S$4)^('W2'!$B$20+2)*'W2'!$F$9+(1+'Subcontract 1'!$S$4)^('W2'!$B$20+3)*'W2'!$F$10)/'W2'!$F$5*'Subcontract 1'!$E23,0),ROUND('Subcontract 1'!$E23*((1+'Subcontract 1'!$S$4)^3)/'W2'!$F$5*'W2'!$F$5,0))))))),(IF(AND('Subcontract 1'!$S$4="Multi",'Subcontract 1'!$R$4="FY"),ROUND(((1+'Subcontract 1'!$M23)^('W2'!$B$20+3)*'W2'!$F$9+(1+'Subcontract 1'!$M23)^('W2'!$B$20+4)*'W2'!$F$10)/'W2'!$F$5*'Subcontract 1'!$E23,0),(IF(AND('Subcontract 1'!$S$4="Multi",'Subcontract 1'!$R$4="PY"),ROUND('Subcontract 1'!$E23*((1+'Subcontract 1'!$M23)^3)/'W2'!$F$5*'W2'!$F$5,0),(IF(AND('Subcontract 1'!$S$4&lt;&gt;"Multi",'Subcontract 1'!$R$4="FY"),ROUND(((1+'Subcontract 1'!$S$4)^('W2'!$B$20+3)*'W2'!$F$9+(1+'Subcontract 1'!$S$4)^('W2'!$B$20+4)*'W2'!$F$10)/'W2'!$F$5*'Subcontract 1'!$E23,0),ROUND('Subcontract 1'!$E23*((1+'Subcontract 1'!$S$4)^3)/'W2'!$F$5*'W2'!$F$5,0)))))))))</f>
        <v/>
      </c>
      <c r="I343" s="300"/>
      <c r="J343" s="302" t="str">
        <f>IF('W2'!$G$5=0,"",IF($C$4=$D$4,(IF(AND('Subcontract 1'!$S$4="Multi",'Subcontract 1'!$R$4="FY"),ROUND(((1+'Subcontract 1'!$M23)^('W2'!$B$20+3)*'W2'!$G$9+(1+'Subcontract 1'!$M23)^('W2'!$B$20+4)*'W2'!$G$10)/'W2'!$G$5*'Subcontract 1'!$E23,0),(IF(AND('Subcontract 1'!$S$4="Multi",'Subcontract 1'!$R$4="PY"),ROUND('Subcontract 1'!$E23*((1+'Subcontract 1'!$M23)^4)/'W2'!$G$5*'W2'!$G$5,0),(IF(AND('Subcontract 1'!$S$4&lt;&gt;"Multi",'Subcontract 1'!$R$4="FY"),ROUND(((1+'Subcontract 1'!$S$4)^('W2'!$B$20+3)*'W2'!$G$9+(1+'Subcontract 1'!$S$4)^('W2'!$B$20+4)*'W2'!$G$10)/'W2'!$G$5*'Subcontract 1'!$E23,0),ROUND('Subcontract 1'!$E23*((1+'Subcontract 1'!$S$4)^4)/'W2'!$G$5*'W2'!$G$5,0))))))),(IF(AND('Subcontract 1'!$S$4="Multi",'Subcontract 1'!$R$4="FY"),ROUND(((1+'Subcontract 1'!$M23)^('W2'!$B$20+4)*'W2'!$G$9+(1+'Subcontract 1'!$M23)^('W2'!$B$20+5)*'W2'!$G$10)/'W2'!$G$5*'Subcontract 1'!$E23,0),(IF(AND('Subcontract 1'!$S$4="Multi",'Subcontract 1'!$R$4="PY"),ROUND('Subcontract 1'!$E23*((1+'Subcontract 1'!$M23)^4)/'W2'!$G$5*'W2'!$G$5,0),(IF(AND('Subcontract 1'!$S$4&lt;&gt;"Multi",'Subcontract 1'!$R$4="FY"),ROUND(((1+'Subcontract 1'!$S$4)^('W2'!$B$20+4)*'W2'!$G$9+(1+'Subcontract 1'!$S$4)^('W2'!$B$20+5)*'W2'!$G$10)/'W2'!$G$5*'Subcontract 1'!$E23,0),ROUND('Subcontract 1'!$E23*((1+'Subcontract 1'!$S$4)^4)/'W2'!$G$5*'W2'!$G$5,0)))))))))</f>
        <v/>
      </c>
      <c r="K343" s="300"/>
    </row>
    <row r="344" spans="1:11" x14ac:dyDescent="0.2">
      <c r="A344" s="82" t="e">
        <f>#REF!</f>
        <v>#REF!</v>
      </c>
      <c r="B344" s="302">
        <f>IF('W2'!$C$5=0,"",IF(AND('Subcontract 1'!$S$4="Multi",'Subcontract 1'!$R$4="FY"),ROUND(((1+'Subcontract 1'!$M24)^'W2'!$B$20*'W2'!$C$9+(1+'Subcontract 1'!$M24)^('W2'!$B$20+1)*'W2'!$C$10)/('W2'!$C$5)*'Subcontract 1'!$E24,0),(IF(AND('Subcontract 1'!$S$4="Multi",'Subcontract 1'!$R$4="PY"),ROUND('Subcontract 1'!$E24/('W2'!$C$5)*'W2'!$C$5,0),(IF(AND('Subcontract 1'!$S$4&lt;&gt;"Multi",'Subcontract 1'!$R$4="FY"),ROUND(((1+'Subcontract 1'!$S$4)^'W2'!$B$20*'W2'!$C$9+(1+'Subcontract 1'!$S$4)^('W2'!$B$20+1)*'W2'!$C$10)/'W2'!$C$5*'Subcontract 1'!$E24,0),ROUND('Subcontract 1'!$E24/'W2'!$C$5*'W2'!$C$5,0)))))))</f>
        <v>0</v>
      </c>
      <c r="C344" s="300"/>
      <c r="D344" s="302">
        <f>IF('W2'!$D$5=0,"",IF($C$4=$D$4,(IF(AND('Subcontract 1'!$S$4="Multi",'Subcontract 1'!$R$4="FY"),ROUND(((1+'Subcontract 1'!$M24)^('W2'!$B$20)*'W2'!$D$9+(1+'Subcontract 1'!$M24)^('W2'!$B$20+1)*'W2'!$D$10)/'W2'!$D$5*'Subcontract 1'!$E24,0),(IF(AND('Subcontract 1'!$S$4="Multi",'Subcontract 1'!$R$4="PY"),ROUND('Subcontract 1'!$E24*(1+'Subcontract 1'!$M24)/'W2'!$D$5*'W2'!$D$5,0),(IF(AND('Subcontract 1'!$S$4&lt;&gt;"Multi",'Subcontract 1'!$R$4="FY"),ROUND(((1+'Subcontract 1'!$S$4)^('W2'!$B$20)*'W2'!$D$9+(1+'Subcontract 1'!$S$4)^('W2'!$B$20+1)*'W2'!$D$10)/'W2'!$D$5*'Subcontract 1'!$E24,0),ROUND('Subcontract 1'!$E24*(1+'Subcontract 1'!$S$4)/'W2'!$D$5*'W2'!$D$5,0))))))),(IF(AND('Subcontract 1'!$S$4="Multi",'Subcontract 1'!$R$4="FY"),ROUND(((1+'Subcontract 1'!$M24)^('W2'!$B$20+1)*'W2'!$D$9+(1+'Subcontract 1'!$M24)^('W2'!$B$20+2)*'W2'!$D$10)/'W2'!$D$5*'Subcontract 1'!$E24,0),(IF(AND('Subcontract 1'!$S$4="Multi",'Subcontract 1'!$R$4="PY"),ROUND('Subcontract 1'!$E24*(1+'Subcontract 1'!$M24)/'W2'!$D$5*'W2'!$D$5,0),(IF(AND('Subcontract 1'!$S$4&lt;&gt;"Multi",'Subcontract 1'!$R$4="FY"),ROUND(((1+'Subcontract 1'!$S$4)^('W2'!$B$20+1)*'W2'!$D$9+(1+'Subcontract 1'!$S$4)^('W2'!$B$20+2)*'W2'!$D$10)/'W2'!$D$5*'Subcontract 1'!$E24,0),ROUND('Subcontract 1'!$E24*(1+'Subcontract 1'!$S$4)/'W2'!$D$5*'W2'!$D$5,0)))))))))</f>
        <v>0</v>
      </c>
      <c r="E344" s="300"/>
      <c r="F344" s="302" t="str">
        <f>IF('W2'!$E$5=0,"",IF($C$4=$D$4,(IF(AND('Subcontract 1'!$S$4="Multi",'Subcontract 1'!$R$4="FY"),ROUND(((1+'Subcontract 1'!$M24)^('W2'!$B$20+1)*'W2'!$E$9+(1+'Subcontract 1'!$M24)^('W2'!$B$20+3)*'W2'!$E$10)/'W2'!$E$5*'Subcontract 1'!$E24,0),(IF(AND('Subcontract 1'!$S$4="Multi",'Subcontract 1'!$R$4="PY"),ROUND('Subcontract 1'!$E24*((1+'Subcontract 1'!$M24)^2)/'W2'!$E$5*'W2'!$E$5,0),(IF(AND('Subcontract 1'!$S$4&lt;&gt;"Multi",'Subcontract 1'!$R$4="FY"),ROUND(((1+'Subcontract 1'!$S$4)^('W2'!$B$20+1)*'W2'!$E$9+(1+'Subcontract 1'!$S$4)^('W2'!$B$20+2)*'W2'!$E$10)/'W2'!$E$5*'Subcontract 1'!$E24,0),ROUND('Subcontract 1'!$E24*((1+'Subcontract 1'!$S$4)^2)/'W2'!$E$5*'W2'!$E$5,0))))))),(IF(AND('Subcontract 1'!$S$4="Multi",'Subcontract 1'!$R$4="FY"),ROUND(((1+'Subcontract 1'!$M24)^('W2'!$B$20+2)*'W2'!$E$9+(1+'Subcontract 1'!$M24)^('W2'!$B$20+3)*'W2'!$E$10)/'W2'!$E$5*'Subcontract 1'!$E24,0),(IF(AND('Subcontract 1'!$S$4="Multi",'Subcontract 1'!$R$4="PY"),ROUND('Subcontract 1'!$E24*((1+'Subcontract 1'!$M24)^2)/'W2'!$E$5*'W2'!$E$5,0),(IF(AND('Subcontract 1'!$S$4&lt;&gt;"Multi",'Subcontract 1'!$R$4="FY"),ROUND(((1+'Subcontract 1'!$S$4)^('W2'!$B$20+2)*'W2'!$E$9+(1+'Subcontract 1'!$S$4)^('W2'!$B$20+3)*'W2'!$E$10)/'W2'!$E$5*'Subcontract 1'!$E24,0),ROUND('Subcontract 1'!$E24*((1+'Subcontract 1'!$S$4)^2)/'W2'!$E$5*'W2'!$E$5,0)))))))))</f>
        <v/>
      </c>
      <c r="G344" s="300"/>
      <c r="H344" s="302" t="str">
        <f>IF('W2'!$F$5=0,"",IF($C$4=$D$4,(IF(AND('Subcontract 1'!$S$4="Multi",'Subcontract 1'!$R$4="FY"),ROUND(((1+'Subcontract 1'!$M24)^('W2'!$B$20+2)*'W2'!$F$9+(1+'Subcontract 1'!$M24)^('W2'!$B$20+3)*'W2'!$F$10)/'W2'!$F$5*'Subcontract 1'!$E24,0),(IF(AND('Subcontract 1'!$S$4="Multi",'Subcontract 1'!$R$4="PY"),ROUND('Subcontract 1'!$E24*((1+'Subcontract 1'!$M24)^3)/'W2'!$F$5*'W2'!$F$5,0),(IF(AND('Subcontract 1'!$S$4&lt;&gt;"Multi",'Subcontract 1'!$R$4="FY"),ROUND(((1+'Subcontract 1'!$S$4)^('W2'!$B$20+2)*'W2'!$F$9+(1+'Subcontract 1'!$S$4)^('W2'!$B$20+3)*'W2'!$F$10)/'W2'!$F$5*'Subcontract 1'!$E24,0),ROUND('Subcontract 1'!$E24*((1+'Subcontract 1'!$S$4)^3)/'W2'!$F$5*'W2'!$F$5,0))))))),(IF(AND('Subcontract 1'!$S$4="Multi",'Subcontract 1'!$R$4="FY"),ROUND(((1+'Subcontract 1'!$M24)^('W2'!$B$20+3)*'W2'!$F$9+(1+'Subcontract 1'!$M24)^('W2'!$B$20+4)*'W2'!$F$10)/'W2'!$F$5*'Subcontract 1'!$E24,0),(IF(AND('Subcontract 1'!$S$4="Multi",'Subcontract 1'!$R$4="PY"),ROUND('Subcontract 1'!$E24*((1+'Subcontract 1'!$M24)^3)/'W2'!$F$5*'W2'!$F$5,0),(IF(AND('Subcontract 1'!$S$4&lt;&gt;"Multi",'Subcontract 1'!$R$4="FY"),ROUND(((1+'Subcontract 1'!$S$4)^('W2'!$B$20+3)*'W2'!$F$9+(1+'Subcontract 1'!$S$4)^('W2'!$B$20+4)*'W2'!$F$10)/'W2'!$F$5*'Subcontract 1'!$E24,0),ROUND('Subcontract 1'!$E24*((1+'Subcontract 1'!$S$4)^3)/'W2'!$F$5*'W2'!$F$5,0)))))))))</f>
        <v/>
      </c>
      <c r="I344" s="300"/>
      <c r="J344" s="302" t="str">
        <f>IF('W2'!$G$5=0,"",IF($C$4=$D$4,(IF(AND('Subcontract 1'!$S$4="Multi",'Subcontract 1'!$R$4="FY"),ROUND(((1+'Subcontract 1'!$M24)^('W2'!$B$20+3)*'W2'!$G$9+(1+'Subcontract 1'!$M24)^('W2'!$B$20+4)*'W2'!$G$10)/'W2'!$G$5*'Subcontract 1'!$E24,0),(IF(AND('Subcontract 1'!$S$4="Multi",'Subcontract 1'!$R$4="PY"),ROUND('Subcontract 1'!$E24*((1+'Subcontract 1'!$M24)^4)/'W2'!$G$5*'W2'!$G$5,0),(IF(AND('Subcontract 1'!$S$4&lt;&gt;"Multi",'Subcontract 1'!$R$4="FY"),ROUND(((1+'Subcontract 1'!$S$4)^('W2'!$B$20+3)*'W2'!$G$9+(1+'Subcontract 1'!$S$4)^('W2'!$B$20+4)*'W2'!$G$10)/'W2'!$G$5*'Subcontract 1'!$E24,0),ROUND('Subcontract 1'!$E24*((1+'Subcontract 1'!$S$4)^4)/'W2'!$G$5*'W2'!$G$5,0))))))),(IF(AND('Subcontract 1'!$S$4="Multi",'Subcontract 1'!$R$4="FY"),ROUND(((1+'Subcontract 1'!$M24)^('W2'!$B$20+4)*'W2'!$G$9+(1+'Subcontract 1'!$M24)^('W2'!$B$20+5)*'W2'!$G$10)/'W2'!$G$5*'Subcontract 1'!$E24,0),(IF(AND('Subcontract 1'!$S$4="Multi",'Subcontract 1'!$R$4="PY"),ROUND('Subcontract 1'!$E24*((1+'Subcontract 1'!$M24)^4)/'W2'!$G$5*'W2'!$G$5,0),(IF(AND('Subcontract 1'!$S$4&lt;&gt;"Multi",'Subcontract 1'!$R$4="FY"),ROUND(((1+'Subcontract 1'!$S$4)^('W2'!$B$20+4)*'W2'!$G$9+(1+'Subcontract 1'!$S$4)^('W2'!$B$20+5)*'W2'!$G$10)/'W2'!$G$5*'Subcontract 1'!$E24,0),ROUND('Subcontract 1'!$E24*((1+'Subcontract 1'!$S$4)^4)/'W2'!$G$5*'W2'!$G$5,0)))))))))</f>
        <v/>
      </c>
      <c r="K344" s="300"/>
    </row>
    <row r="345" spans="1:11" x14ac:dyDescent="0.2">
      <c r="A345" s="82" t="e">
        <f>#REF!</f>
        <v>#REF!</v>
      </c>
      <c r="B345" s="302">
        <f>IF('W2'!$C$5=0,"",IF(AND('Subcontract 1'!$S$4="Multi",'Subcontract 1'!$R$4="FY"),ROUND(((1+'Subcontract 1'!$M25)^'W2'!$B$20*'W2'!$C$9+(1+'Subcontract 1'!$M25)^('W2'!$B$20+1)*'W2'!$C$10)/('W2'!$C$5)*'Subcontract 1'!$E25,0),(IF(AND('Subcontract 1'!$S$4="Multi",'Subcontract 1'!$R$4="PY"),ROUND('Subcontract 1'!$E25/('W2'!$C$5)*'W2'!$C$5,0),(IF(AND('Subcontract 1'!$S$4&lt;&gt;"Multi",'Subcontract 1'!$R$4="FY"),ROUND(((1+'Subcontract 1'!$S$4)^'W2'!$B$20*'W2'!$C$9+(1+'Subcontract 1'!$S$4)^('W2'!$B$20+1)*'W2'!$C$10)/'W2'!$C$5*'Subcontract 1'!$E25,0),ROUND('Subcontract 1'!$E25/'W2'!$C$5*'W2'!$C$5,0)))))))</f>
        <v>0</v>
      </c>
      <c r="C345" s="300"/>
      <c r="D345" s="302">
        <f>IF('W2'!$D$5=0,"",IF($C$4=$D$4,(IF(AND('Subcontract 1'!$S$4="Multi",'Subcontract 1'!$R$4="FY"),ROUND(((1+'Subcontract 1'!$M25)^('W2'!$B$20)*'W2'!$D$9+(1+'Subcontract 1'!$M25)^('W2'!$B$20+1)*'W2'!$D$10)/'W2'!$D$5*'Subcontract 1'!$E25,0),(IF(AND('Subcontract 1'!$S$4="Multi",'Subcontract 1'!$R$4="PY"),ROUND('Subcontract 1'!$E25*(1+'Subcontract 1'!$M25)/'W2'!$D$5*'W2'!$D$5,0),(IF(AND('Subcontract 1'!$S$4&lt;&gt;"Multi",'Subcontract 1'!$R$4="FY"),ROUND(((1+'Subcontract 1'!$S$4)^('W2'!$B$20)*'W2'!$D$9+(1+'Subcontract 1'!$S$4)^('W2'!$B$20+1)*'W2'!$D$10)/'W2'!$D$5*'Subcontract 1'!$E25,0),ROUND('Subcontract 1'!$E25*(1+'Subcontract 1'!$S$4)/'W2'!$D$5*'W2'!$D$5,0))))))),(IF(AND('Subcontract 1'!$S$4="Multi",'Subcontract 1'!$R$4="FY"),ROUND(((1+'Subcontract 1'!$M25)^('W2'!$B$20+1)*'W2'!$D$9+(1+'Subcontract 1'!$M25)^('W2'!$B$20+2)*'W2'!$D$10)/'W2'!$D$5*'Subcontract 1'!$E25,0),(IF(AND('Subcontract 1'!$S$4="Multi",'Subcontract 1'!$R$4="PY"),ROUND('Subcontract 1'!$E25*(1+'Subcontract 1'!$M25)/'W2'!$D$5*'W2'!$D$5,0),(IF(AND('Subcontract 1'!$S$4&lt;&gt;"Multi",'Subcontract 1'!$R$4="FY"),ROUND(((1+'Subcontract 1'!$S$4)^('W2'!$B$20+1)*'W2'!$D$9+(1+'Subcontract 1'!$S$4)^('W2'!$B$20+2)*'W2'!$D$10)/'W2'!$D$5*'Subcontract 1'!$E25,0),ROUND('Subcontract 1'!$E25*(1+'Subcontract 1'!$S$4)/'W2'!$D$5*'W2'!$D$5,0)))))))))</f>
        <v>0</v>
      </c>
      <c r="E345" s="300"/>
      <c r="F345" s="302" t="str">
        <f>IF('W2'!$E$5=0,"",IF($C$4=$D$4,(IF(AND('Subcontract 1'!$S$4="Multi",'Subcontract 1'!$R$4="FY"),ROUND(((1+'Subcontract 1'!$M25)^('W2'!$B$20+1)*'W2'!$E$9+(1+'Subcontract 1'!$M25)^('W2'!$B$20+3)*'W2'!$E$10)/'W2'!$E$5*'Subcontract 1'!$E25,0),(IF(AND('Subcontract 1'!$S$4="Multi",'Subcontract 1'!$R$4="PY"),ROUND('Subcontract 1'!$E25*((1+'Subcontract 1'!$M25)^2)/'W2'!$E$5*'W2'!$E$5,0),(IF(AND('Subcontract 1'!$S$4&lt;&gt;"Multi",'Subcontract 1'!$R$4="FY"),ROUND(((1+'Subcontract 1'!$S$4)^('W2'!$B$20+1)*'W2'!$E$9+(1+'Subcontract 1'!$S$4)^('W2'!$B$20+2)*'W2'!$E$10)/'W2'!$E$5*'Subcontract 1'!$E25,0),ROUND('Subcontract 1'!$E25*((1+'Subcontract 1'!$S$4)^2)/'W2'!$E$5*'W2'!$E$5,0))))))),(IF(AND('Subcontract 1'!$S$4="Multi",'Subcontract 1'!$R$4="FY"),ROUND(((1+'Subcontract 1'!$M25)^('W2'!$B$20+2)*'W2'!$E$9+(1+'Subcontract 1'!$M25)^('W2'!$B$20+3)*'W2'!$E$10)/'W2'!$E$5*'Subcontract 1'!$E25,0),(IF(AND('Subcontract 1'!$S$4="Multi",'Subcontract 1'!$R$4="PY"),ROUND('Subcontract 1'!$E25*((1+'Subcontract 1'!$M25)^2)/'W2'!$E$5*'W2'!$E$5,0),(IF(AND('Subcontract 1'!$S$4&lt;&gt;"Multi",'Subcontract 1'!$R$4="FY"),ROUND(((1+'Subcontract 1'!$S$4)^('W2'!$B$20+2)*'W2'!$E$9+(1+'Subcontract 1'!$S$4)^('W2'!$B$20+3)*'W2'!$E$10)/'W2'!$E$5*'Subcontract 1'!$E25,0),ROUND('Subcontract 1'!$E25*((1+'Subcontract 1'!$S$4)^2)/'W2'!$E$5*'W2'!$E$5,0)))))))))</f>
        <v/>
      </c>
      <c r="G345" s="300"/>
      <c r="H345" s="302" t="str">
        <f>IF('W2'!$F$5=0,"",IF($C$4=$D$4,(IF(AND('Subcontract 1'!$S$4="Multi",'Subcontract 1'!$R$4="FY"),ROUND(((1+'Subcontract 1'!$M25)^('W2'!$B$20+2)*'W2'!$F$9+(1+'Subcontract 1'!$M25)^('W2'!$B$20+3)*'W2'!$F$10)/'W2'!$F$5*'Subcontract 1'!$E25,0),(IF(AND('Subcontract 1'!$S$4="Multi",'Subcontract 1'!$R$4="PY"),ROUND('Subcontract 1'!$E25*((1+'Subcontract 1'!$M25)^3)/'W2'!$F$5*'W2'!$F$5,0),(IF(AND('Subcontract 1'!$S$4&lt;&gt;"Multi",'Subcontract 1'!$R$4="FY"),ROUND(((1+'Subcontract 1'!$S$4)^('W2'!$B$20+2)*'W2'!$F$9+(1+'Subcontract 1'!$S$4)^('W2'!$B$20+3)*'W2'!$F$10)/'W2'!$F$5*'Subcontract 1'!$E25,0),ROUND('Subcontract 1'!$E25*((1+'Subcontract 1'!$S$4)^3)/'W2'!$F$5*'W2'!$F$5,0))))))),(IF(AND('Subcontract 1'!$S$4="Multi",'Subcontract 1'!$R$4="FY"),ROUND(((1+'Subcontract 1'!$M25)^('W2'!$B$20+3)*'W2'!$F$9+(1+'Subcontract 1'!$M25)^('W2'!$B$20+4)*'W2'!$F$10)/'W2'!$F$5*'Subcontract 1'!$E25,0),(IF(AND('Subcontract 1'!$S$4="Multi",'Subcontract 1'!$R$4="PY"),ROUND('Subcontract 1'!$E25*((1+'Subcontract 1'!$M25)^3)/'W2'!$F$5*'W2'!$F$5,0),(IF(AND('Subcontract 1'!$S$4&lt;&gt;"Multi",'Subcontract 1'!$R$4="FY"),ROUND(((1+'Subcontract 1'!$S$4)^('W2'!$B$20+3)*'W2'!$F$9+(1+'Subcontract 1'!$S$4)^('W2'!$B$20+4)*'W2'!$F$10)/'W2'!$F$5*'Subcontract 1'!$E25,0),ROUND('Subcontract 1'!$E25*((1+'Subcontract 1'!$S$4)^3)/'W2'!$F$5*'W2'!$F$5,0)))))))))</f>
        <v/>
      </c>
      <c r="I345" s="300"/>
      <c r="J345" s="302" t="str">
        <f>IF('W2'!$G$5=0,"",IF($C$4=$D$4,(IF(AND('Subcontract 1'!$S$4="Multi",'Subcontract 1'!$R$4="FY"),ROUND(((1+'Subcontract 1'!$M25)^('W2'!$B$20+3)*'W2'!$G$9+(1+'Subcontract 1'!$M25)^('W2'!$B$20+4)*'W2'!$G$10)/'W2'!$G$5*'Subcontract 1'!$E25,0),(IF(AND('Subcontract 1'!$S$4="Multi",'Subcontract 1'!$R$4="PY"),ROUND('Subcontract 1'!$E25*((1+'Subcontract 1'!$M25)^4)/'W2'!$G$5*'W2'!$G$5,0),(IF(AND('Subcontract 1'!$S$4&lt;&gt;"Multi",'Subcontract 1'!$R$4="FY"),ROUND(((1+'Subcontract 1'!$S$4)^('W2'!$B$20+3)*'W2'!$G$9+(1+'Subcontract 1'!$S$4)^('W2'!$B$20+4)*'W2'!$G$10)/'W2'!$G$5*'Subcontract 1'!$E25,0),ROUND('Subcontract 1'!$E25*((1+'Subcontract 1'!$S$4)^4)/'W2'!$G$5*'W2'!$G$5,0))))))),(IF(AND('Subcontract 1'!$S$4="Multi",'Subcontract 1'!$R$4="FY"),ROUND(((1+'Subcontract 1'!$M25)^('W2'!$B$20+4)*'W2'!$G$9+(1+'Subcontract 1'!$M25)^('W2'!$B$20+5)*'W2'!$G$10)/'W2'!$G$5*'Subcontract 1'!$E25,0),(IF(AND('Subcontract 1'!$S$4="Multi",'Subcontract 1'!$R$4="PY"),ROUND('Subcontract 1'!$E25*((1+'Subcontract 1'!$M25)^4)/'W2'!$G$5*'W2'!$G$5,0),(IF(AND('Subcontract 1'!$S$4&lt;&gt;"Multi",'Subcontract 1'!$R$4="FY"),ROUND(((1+'Subcontract 1'!$S$4)^('W2'!$B$20+4)*'W2'!$G$9+(1+'Subcontract 1'!$S$4)^('W2'!$B$20+5)*'W2'!$G$10)/'W2'!$G$5*'Subcontract 1'!$E25,0),ROUND('Subcontract 1'!$E25*((1+'Subcontract 1'!$S$4)^4)/'W2'!$G$5*'W2'!$G$5,0)))))))))</f>
        <v/>
      </c>
      <c r="K345" s="300"/>
    </row>
    <row r="346" spans="1:11" x14ac:dyDescent="0.2">
      <c r="A346" s="82" t="e">
        <f>#REF!</f>
        <v>#REF!</v>
      </c>
      <c r="B346" s="302">
        <f>IF('W2'!$C$5=0,"",IF(AND('Subcontract 1'!$S$4="Multi",'Subcontract 1'!$R$4="FY"),ROUND(((1+'Subcontract 1'!$M26)^'W2'!$B$20*'W2'!$C$9+(1+'Subcontract 1'!$M26)^('W2'!$B$20+1)*'W2'!$C$10)/('W2'!$C$5)*'Subcontract 1'!$E26,0),(IF(AND('Subcontract 1'!$S$4="Multi",'Subcontract 1'!$R$4="PY"),ROUND('Subcontract 1'!$E26/('W2'!$C$5)*'W2'!$C$5,0),(IF(AND('Subcontract 1'!$S$4&lt;&gt;"Multi",'Subcontract 1'!$R$4="FY"),ROUND(((1+'Subcontract 1'!$S$4)^'W2'!$B$20*'W2'!$C$9+(1+'Subcontract 1'!$S$4)^('W2'!$B$20+1)*'W2'!$C$10)/'W2'!$C$5*'Subcontract 1'!$E26,0),ROUND('Subcontract 1'!$E26/'W2'!$C$5*'W2'!$C$5,0)))))))</f>
        <v>0</v>
      </c>
      <c r="C346" s="300"/>
      <c r="D346" s="302">
        <f>IF('W2'!$D$5=0,"",IF($C$4=$D$4,(IF(AND('Subcontract 1'!$S$4="Multi",'Subcontract 1'!$R$4="FY"),ROUND(((1+'Subcontract 1'!$M26)^('W2'!$B$20)*'W2'!$D$9+(1+'Subcontract 1'!$M26)^('W2'!$B$20+1)*'W2'!$D$10)/'W2'!$D$5*'Subcontract 1'!$E26,0),(IF(AND('Subcontract 1'!$S$4="Multi",'Subcontract 1'!$R$4="PY"),ROUND('Subcontract 1'!$E26*(1+'Subcontract 1'!$M26)/'W2'!$D$5*'W2'!$D$5,0),(IF(AND('Subcontract 1'!$S$4&lt;&gt;"Multi",'Subcontract 1'!$R$4="FY"),ROUND(((1+'Subcontract 1'!$S$4)^('W2'!$B$20)*'W2'!$D$9+(1+'Subcontract 1'!$S$4)^('W2'!$B$20+1)*'W2'!$D$10)/'W2'!$D$5*'Subcontract 1'!$E26,0),ROUND('Subcontract 1'!$E26*(1+'Subcontract 1'!$S$4)/'W2'!$D$5*'W2'!$D$5,0))))))),(IF(AND('Subcontract 1'!$S$4="Multi",'Subcontract 1'!$R$4="FY"),ROUND(((1+'Subcontract 1'!$M26)^('W2'!$B$20+1)*'W2'!$D$9+(1+'Subcontract 1'!$M26)^('W2'!$B$20+2)*'W2'!$D$10)/'W2'!$D$5*'Subcontract 1'!$E26,0),(IF(AND('Subcontract 1'!$S$4="Multi",'Subcontract 1'!$R$4="PY"),ROUND('Subcontract 1'!$E26*(1+'Subcontract 1'!$M26)/'W2'!$D$5*'W2'!$D$5,0),(IF(AND('Subcontract 1'!$S$4&lt;&gt;"Multi",'Subcontract 1'!$R$4="FY"),ROUND(((1+'Subcontract 1'!$S$4)^('W2'!$B$20+1)*'W2'!$D$9+(1+'Subcontract 1'!$S$4)^('W2'!$B$20+2)*'W2'!$D$10)/'W2'!$D$5*'Subcontract 1'!$E26,0),ROUND('Subcontract 1'!$E26*(1+'Subcontract 1'!$S$4)/'W2'!$D$5*'W2'!$D$5,0)))))))))</f>
        <v>0</v>
      </c>
      <c r="E346" s="300"/>
      <c r="F346" s="302" t="str">
        <f>IF('W2'!$E$5=0,"",IF($C$4=$D$4,(IF(AND('Subcontract 1'!$S$4="Multi",'Subcontract 1'!$R$4="FY"),ROUND(((1+'Subcontract 1'!$M26)^('W2'!$B$20+1)*'W2'!$E$9+(1+'Subcontract 1'!$M26)^('W2'!$B$20+3)*'W2'!$E$10)/'W2'!$E$5*'Subcontract 1'!$E26,0),(IF(AND('Subcontract 1'!$S$4="Multi",'Subcontract 1'!$R$4="PY"),ROUND('Subcontract 1'!$E26*((1+'Subcontract 1'!$M26)^2)/'W2'!$E$5*'W2'!$E$5,0),(IF(AND('Subcontract 1'!$S$4&lt;&gt;"Multi",'Subcontract 1'!$R$4="FY"),ROUND(((1+'Subcontract 1'!$S$4)^('W2'!$B$20+1)*'W2'!$E$9+(1+'Subcontract 1'!$S$4)^('W2'!$B$20+2)*'W2'!$E$10)/'W2'!$E$5*'Subcontract 1'!$E26,0),ROUND('Subcontract 1'!$E26*((1+'Subcontract 1'!$S$4)^2)/'W2'!$E$5*'W2'!$E$5,0))))))),(IF(AND('Subcontract 1'!$S$4="Multi",'Subcontract 1'!$R$4="FY"),ROUND(((1+'Subcontract 1'!$M26)^('W2'!$B$20+2)*'W2'!$E$9+(1+'Subcontract 1'!$M26)^('W2'!$B$20+3)*'W2'!$E$10)/'W2'!$E$5*'Subcontract 1'!$E26,0),(IF(AND('Subcontract 1'!$S$4="Multi",'Subcontract 1'!$R$4="PY"),ROUND('Subcontract 1'!$E26*((1+'Subcontract 1'!$M26)^2)/'W2'!$E$5*'W2'!$E$5,0),(IF(AND('Subcontract 1'!$S$4&lt;&gt;"Multi",'Subcontract 1'!$R$4="FY"),ROUND(((1+'Subcontract 1'!$S$4)^('W2'!$B$20+2)*'W2'!$E$9+(1+'Subcontract 1'!$S$4)^('W2'!$B$20+3)*'W2'!$E$10)/'W2'!$E$5*'Subcontract 1'!$E26,0),ROUND('Subcontract 1'!$E26*((1+'Subcontract 1'!$S$4)^2)/'W2'!$E$5*'W2'!$E$5,0)))))))))</f>
        <v/>
      </c>
      <c r="G346" s="300"/>
      <c r="H346" s="302" t="str">
        <f>IF('W2'!$F$5=0,"",IF($C$4=$D$4,(IF(AND('Subcontract 1'!$S$4="Multi",'Subcontract 1'!$R$4="FY"),ROUND(((1+'Subcontract 1'!$M26)^('W2'!$B$20+2)*'W2'!$F$9+(1+'Subcontract 1'!$M26)^('W2'!$B$20+3)*'W2'!$F$10)/'W2'!$F$5*'Subcontract 1'!$E26,0),(IF(AND('Subcontract 1'!$S$4="Multi",'Subcontract 1'!$R$4="PY"),ROUND('Subcontract 1'!$E26*((1+'Subcontract 1'!$M26)^3)/'W2'!$F$5*'W2'!$F$5,0),(IF(AND('Subcontract 1'!$S$4&lt;&gt;"Multi",'Subcontract 1'!$R$4="FY"),ROUND(((1+'Subcontract 1'!$S$4)^('W2'!$B$20+2)*'W2'!$F$9+(1+'Subcontract 1'!$S$4)^('W2'!$B$20+3)*'W2'!$F$10)/'W2'!$F$5*'Subcontract 1'!$E26,0),ROUND('Subcontract 1'!$E26*((1+'Subcontract 1'!$S$4)^3)/'W2'!$F$5*'W2'!$F$5,0))))))),(IF(AND('Subcontract 1'!$S$4="Multi",'Subcontract 1'!$R$4="FY"),ROUND(((1+'Subcontract 1'!$M26)^('W2'!$B$20+3)*'W2'!$F$9+(1+'Subcontract 1'!$M26)^('W2'!$B$20+4)*'W2'!$F$10)/'W2'!$F$5*'Subcontract 1'!$E26,0),(IF(AND('Subcontract 1'!$S$4="Multi",'Subcontract 1'!$R$4="PY"),ROUND('Subcontract 1'!$E26*((1+'Subcontract 1'!$M26)^3)/'W2'!$F$5*'W2'!$F$5,0),(IF(AND('Subcontract 1'!$S$4&lt;&gt;"Multi",'Subcontract 1'!$R$4="FY"),ROUND(((1+'Subcontract 1'!$S$4)^('W2'!$B$20+3)*'W2'!$F$9+(1+'Subcontract 1'!$S$4)^('W2'!$B$20+4)*'W2'!$F$10)/'W2'!$F$5*'Subcontract 1'!$E26,0),ROUND('Subcontract 1'!$E26*((1+'Subcontract 1'!$S$4)^3)/'W2'!$F$5*'W2'!$F$5,0)))))))))</f>
        <v/>
      </c>
      <c r="I346" s="300"/>
      <c r="J346" s="302" t="str">
        <f>IF('W2'!$G$5=0,"",IF($C$4=$D$4,(IF(AND('Subcontract 1'!$S$4="Multi",'Subcontract 1'!$R$4="FY"),ROUND(((1+'Subcontract 1'!$M26)^('W2'!$B$20+3)*'W2'!$G$9+(1+'Subcontract 1'!$M26)^('W2'!$B$20+4)*'W2'!$G$10)/'W2'!$G$5*'Subcontract 1'!$E26,0),(IF(AND('Subcontract 1'!$S$4="Multi",'Subcontract 1'!$R$4="PY"),ROUND('Subcontract 1'!$E26*((1+'Subcontract 1'!$M26)^4)/'W2'!$G$5*'W2'!$G$5,0),(IF(AND('Subcontract 1'!$S$4&lt;&gt;"Multi",'Subcontract 1'!$R$4="FY"),ROUND(((1+'Subcontract 1'!$S$4)^('W2'!$B$20+3)*'W2'!$G$9+(1+'Subcontract 1'!$S$4)^('W2'!$B$20+4)*'W2'!$G$10)/'W2'!$G$5*'Subcontract 1'!$E26,0),ROUND('Subcontract 1'!$E26*((1+'Subcontract 1'!$S$4)^4)/'W2'!$G$5*'W2'!$G$5,0))))))),(IF(AND('Subcontract 1'!$S$4="Multi",'Subcontract 1'!$R$4="FY"),ROUND(((1+'Subcontract 1'!$M26)^('W2'!$B$20+4)*'W2'!$G$9+(1+'Subcontract 1'!$M26)^('W2'!$B$20+5)*'W2'!$G$10)/'W2'!$G$5*'Subcontract 1'!$E26,0),(IF(AND('Subcontract 1'!$S$4="Multi",'Subcontract 1'!$R$4="PY"),ROUND('Subcontract 1'!$E26*((1+'Subcontract 1'!$M26)^4)/'W2'!$G$5*'W2'!$G$5,0),(IF(AND('Subcontract 1'!$S$4&lt;&gt;"Multi",'Subcontract 1'!$R$4="FY"),ROUND(((1+'Subcontract 1'!$S$4)^('W2'!$B$20+4)*'W2'!$G$9+(1+'Subcontract 1'!$S$4)^('W2'!$B$20+5)*'W2'!$G$10)/'W2'!$G$5*'Subcontract 1'!$E26,0),ROUND('Subcontract 1'!$E26*((1+'Subcontract 1'!$S$4)^4)/'W2'!$G$5*'W2'!$G$5,0)))))))))</f>
        <v/>
      </c>
      <c r="K346" s="300"/>
    </row>
    <row r="347" spans="1:11" x14ac:dyDescent="0.2">
      <c r="A347" s="82" t="e">
        <f>#REF!</f>
        <v>#REF!</v>
      </c>
      <c r="B347" s="302">
        <f>IF('W2'!$C$5=0,"",IF(AND('Subcontract 1'!$S$4="Multi",'Subcontract 1'!$R$4="FY"),ROUND(((1+'Subcontract 1'!$M27)^'W2'!$B$20*'W2'!$C$9+(1+'Subcontract 1'!$M27)^('W2'!$B$20+1)*'W2'!$C$10)/('W2'!$C$5)*'Subcontract 1'!$E27,0),(IF(AND('Subcontract 1'!$S$4="Multi",'Subcontract 1'!$R$4="PY"),ROUND('Subcontract 1'!$E27/('W2'!$C$5)*'W2'!$C$5,0),(IF(AND('Subcontract 1'!$S$4&lt;&gt;"Multi",'Subcontract 1'!$R$4="FY"),ROUND(((1+'Subcontract 1'!$S$4)^'W2'!$B$20*'W2'!$C$9+(1+'Subcontract 1'!$S$4)^('W2'!$B$20+1)*'W2'!$C$10)/'W2'!$C$5*'Subcontract 1'!$E27,0),ROUND('Subcontract 1'!$E27/'W2'!$C$5*'W2'!$C$5,0)))))))</f>
        <v>0</v>
      </c>
      <c r="C347" s="300"/>
      <c r="D347" s="302">
        <f>IF('W2'!$D$5=0,"",IF($C$4=$D$4,(IF(AND('Subcontract 1'!$S$4="Multi",'Subcontract 1'!$R$4="FY"),ROUND(((1+'Subcontract 1'!$M27)^('W2'!$B$20)*'W2'!$D$9+(1+'Subcontract 1'!$M27)^('W2'!$B$20+1)*'W2'!$D$10)/'W2'!$D$5*'Subcontract 1'!$E27,0),(IF(AND('Subcontract 1'!$S$4="Multi",'Subcontract 1'!$R$4="PY"),ROUND('Subcontract 1'!$E27*(1+'Subcontract 1'!$M27)/'W2'!$D$5*'W2'!$D$5,0),(IF(AND('Subcontract 1'!$S$4&lt;&gt;"Multi",'Subcontract 1'!$R$4="FY"),ROUND(((1+'Subcontract 1'!$S$4)^('W2'!$B$20)*'W2'!$D$9+(1+'Subcontract 1'!$S$4)^('W2'!$B$20+1)*'W2'!$D$10)/'W2'!$D$5*'Subcontract 1'!$E27,0),ROUND('Subcontract 1'!$E27*(1+'Subcontract 1'!$S$4)/'W2'!$D$5*'W2'!$D$5,0))))))),(IF(AND('Subcontract 1'!$S$4="Multi",'Subcontract 1'!$R$4="FY"),ROUND(((1+'Subcontract 1'!$M27)^('W2'!$B$20+1)*'W2'!$D$9+(1+'Subcontract 1'!$M27)^('W2'!$B$20+2)*'W2'!$D$10)/'W2'!$D$5*'Subcontract 1'!$E27,0),(IF(AND('Subcontract 1'!$S$4="Multi",'Subcontract 1'!$R$4="PY"),ROUND('Subcontract 1'!$E27*(1+'Subcontract 1'!$M27)/'W2'!$D$5*'W2'!$D$5,0),(IF(AND('Subcontract 1'!$S$4&lt;&gt;"Multi",'Subcontract 1'!$R$4="FY"),ROUND(((1+'Subcontract 1'!$S$4)^('W2'!$B$20+1)*'W2'!$D$9+(1+'Subcontract 1'!$S$4)^('W2'!$B$20+2)*'W2'!$D$10)/'W2'!$D$5*'Subcontract 1'!$E27,0),ROUND('Subcontract 1'!$E27*(1+'Subcontract 1'!$S$4)/'W2'!$D$5*'W2'!$D$5,0)))))))))</f>
        <v>0</v>
      </c>
      <c r="E347" s="300"/>
      <c r="F347" s="302" t="str">
        <f>IF('W2'!$E$5=0,"",IF($C$4=$D$4,(IF(AND('Subcontract 1'!$S$4="Multi",'Subcontract 1'!$R$4="FY"),ROUND(((1+'Subcontract 1'!$M27)^('W2'!$B$20+1)*'W2'!$E$9+(1+'Subcontract 1'!$M27)^('W2'!$B$20+3)*'W2'!$E$10)/'W2'!$E$5*'Subcontract 1'!$E27,0),(IF(AND('Subcontract 1'!$S$4="Multi",'Subcontract 1'!$R$4="PY"),ROUND('Subcontract 1'!$E27*((1+'Subcontract 1'!$M27)^2)/'W2'!$E$5*'W2'!$E$5,0),(IF(AND('Subcontract 1'!$S$4&lt;&gt;"Multi",'Subcontract 1'!$R$4="FY"),ROUND(((1+'Subcontract 1'!$S$4)^('W2'!$B$20+1)*'W2'!$E$9+(1+'Subcontract 1'!$S$4)^('W2'!$B$20+2)*'W2'!$E$10)/'W2'!$E$5*'Subcontract 1'!$E27,0),ROUND('Subcontract 1'!$E27*((1+'Subcontract 1'!$S$4)^2)/'W2'!$E$5*'W2'!$E$5,0))))))),(IF(AND('Subcontract 1'!$S$4="Multi",'Subcontract 1'!$R$4="FY"),ROUND(((1+'Subcontract 1'!$M27)^('W2'!$B$20+2)*'W2'!$E$9+(1+'Subcontract 1'!$M27)^('W2'!$B$20+3)*'W2'!$E$10)/'W2'!$E$5*'Subcontract 1'!$E27,0),(IF(AND('Subcontract 1'!$S$4="Multi",'Subcontract 1'!$R$4="PY"),ROUND('Subcontract 1'!$E27*((1+'Subcontract 1'!$M27)^2)/'W2'!$E$5*'W2'!$E$5,0),(IF(AND('Subcontract 1'!$S$4&lt;&gt;"Multi",'Subcontract 1'!$R$4="FY"),ROUND(((1+'Subcontract 1'!$S$4)^('W2'!$B$20+2)*'W2'!$E$9+(1+'Subcontract 1'!$S$4)^('W2'!$B$20+3)*'W2'!$E$10)/'W2'!$E$5*'Subcontract 1'!$E27,0),ROUND('Subcontract 1'!$E27*((1+'Subcontract 1'!$S$4)^2)/'W2'!$E$5*'W2'!$E$5,0)))))))))</f>
        <v/>
      </c>
      <c r="G347" s="300"/>
      <c r="H347" s="302" t="str">
        <f>IF('W2'!$F$5=0,"",IF($C$4=$D$4,(IF(AND('Subcontract 1'!$S$4="Multi",'Subcontract 1'!$R$4="FY"),ROUND(((1+'Subcontract 1'!$M27)^('W2'!$B$20+2)*'W2'!$F$9+(1+'Subcontract 1'!$M27)^('W2'!$B$20+3)*'W2'!$F$10)/'W2'!$F$5*'Subcontract 1'!$E27,0),(IF(AND('Subcontract 1'!$S$4="Multi",'Subcontract 1'!$R$4="PY"),ROUND('Subcontract 1'!$E27*((1+'Subcontract 1'!$M27)^3)/'W2'!$F$5*'W2'!$F$5,0),(IF(AND('Subcontract 1'!$S$4&lt;&gt;"Multi",'Subcontract 1'!$R$4="FY"),ROUND(((1+'Subcontract 1'!$S$4)^('W2'!$B$20+2)*'W2'!$F$9+(1+'Subcontract 1'!$S$4)^('W2'!$B$20+3)*'W2'!$F$10)/'W2'!$F$5*'Subcontract 1'!$E27,0),ROUND('Subcontract 1'!$E27*((1+'Subcontract 1'!$S$4)^3)/'W2'!$F$5*'W2'!$F$5,0))))))),(IF(AND('Subcontract 1'!$S$4="Multi",'Subcontract 1'!$R$4="FY"),ROUND(((1+'Subcontract 1'!$M27)^('W2'!$B$20+3)*'W2'!$F$9+(1+'Subcontract 1'!$M27)^('W2'!$B$20+4)*'W2'!$F$10)/'W2'!$F$5*'Subcontract 1'!$E27,0),(IF(AND('Subcontract 1'!$S$4="Multi",'Subcontract 1'!$R$4="PY"),ROUND('Subcontract 1'!$E27*((1+'Subcontract 1'!$M27)^3)/'W2'!$F$5*'W2'!$F$5,0),(IF(AND('Subcontract 1'!$S$4&lt;&gt;"Multi",'Subcontract 1'!$R$4="FY"),ROUND(((1+'Subcontract 1'!$S$4)^('W2'!$B$20+3)*'W2'!$F$9+(1+'Subcontract 1'!$S$4)^('W2'!$B$20+4)*'W2'!$F$10)/'W2'!$F$5*'Subcontract 1'!$E27,0),ROUND('Subcontract 1'!$E27*((1+'Subcontract 1'!$S$4)^3)/'W2'!$F$5*'W2'!$F$5,0)))))))))</f>
        <v/>
      </c>
      <c r="I347" s="300"/>
      <c r="J347" s="302" t="str">
        <f>IF('W2'!$G$5=0,"",IF($C$4=$D$4,(IF(AND('Subcontract 1'!$S$4="Multi",'Subcontract 1'!$R$4="FY"),ROUND(((1+'Subcontract 1'!$M27)^('W2'!$B$20+3)*'W2'!$G$9+(1+'Subcontract 1'!$M27)^('W2'!$B$20+4)*'W2'!$G$10)/'W2'!$G$5*'Subcontract 1'!$E27,0),(IF(AND('Subcontract 1'!$S$4="Multi",'Subcontract 1'!$R$4="PY"),ROUND('Subcontract 1'!$E27*((1+'Subcontract 1'!$M27)^4)/'W2'!$G$5*'W2'!$G$5,0),(IF(AND('Subcontract 1'!$S$4&lt;&gt;"Multi",'Subcontract 1'!$R$4="FY"),ROUND(((1+'Subcontract 1'!$S$4)^('W2'!$B$20+3)*'W2'!$G$9+(1+'Subcontract 1'!$S$4)^('W2'!$B$20+4)*'W2'!$G$10)/'W2'!$G$5*'Subcontract 1'!$E27,0),ROUND('Subcontract 1'!$E27*((1+'Subcontract 1'!$S$4)^4)/'W2'!$G$5*'W2'!$G$5,0))))))),(IF(AND('Subcontract 1'!$S$4="Multi",'Subcontract 1'!$R$4="FY"),ROUND(((1+'Subcontract 1'!$M27)^('W2'!$B$20+4)*'W2'!$G$9+(1+'Subcontract 1'!$M27)^('W2'!$B$20+5)*'W2'!$G$10)/'W2'!$G$5*'Subcontract 1'!$E27,0),(IF(AND('Subcontract 1'!$S$4="Multi",'Subcontract 1'!$R$4="PY"),ROUND('Subcontract 1'!$E27*((1+'Subcontract 1'!$M27)^4)/'W2'!$G$5*'W2'!$G$5,0),(IF(AND('Subcontract 1'!$S$4&lt;&gt;"Multi",'Subcontract 1'!$R$4="FY"),ROUND(((1+'Subcontract 1'!$S$4)^('W2'!$B$20+4)*'W2'!$G$9+(1+'Subcontract 1'!$S$4)^('W2'!$B$20+5)*'W2'!$G$10)/'W2'!$G$5*'Subcontract 1'!$E27,0),ROUND('Subcontract 1'!$E27*((1+'Subcontract 1'!$S$4)^4)/'W2'!$G$5*'W2'!$G$5,0)))))))))</f>
        <v/>
      </c>
      <c r="K347" s="300"/>
    </row>
    <row r="348" spans="1:11" x14ac:dyDescent="0.2">
      <c r="A348" s="82" t="e">
        <f>#REF!</f>
        <v>#REF!</v>
      </c>
      <c r="B348" s="302">
        <f>IF('W2'!$C$5=0,"",IF(AND('Subcontract 1'!$S$4="Multi",'Subcontract 1'!$R$4="FY"),ROUND(((1+'Subcontract 1'!$M28)^'W2'!$B$20*'W2'!$C$9+(1+'Subcontract 1'!$M28)^('W2'!$B$20+1)*'W2'!$C$10)/('W2'!$C$5)*'Subcontract 1'!$E28,0),(IF(AND('Subcontract 1'!$S$4="Multi",'Subcontract 1'!$R$4="PY"),ROUND('Subcontract 1'!$E28/('W2'!$C$5)*'W2'!$C$5,0),(IF(AND('Subcontract 1'!$S$4&lt;&gt;"Multi",'Subcontract 1'!$R$4="FY"),ROUND(((1+'Subcontract 1'!$S$4)^'W2'!$B$20*'W2'!$C$9+(1+'Subcontract 1'!$S$4)^('W2'!$B$20+1)*'W2'!$C$10)/'W2'!$C$5*'Subcontract 1'!$E28,0),ROUND('Subcontract 1'!$E28/'W2'!$C$5*'W2'!$C$5,0)))))))</f>
        <v>0</v>
      </c>
      <c r="C348" s="300"/>
      <c r="D348" s="302">
        <f>IF('W2'!$D$5=0,"",IF($C$4=$D$4,(IF(AND('Subcontract 1'!$S$4="Multi",'Subcontract 1'!$R$4="FY"),ROUND(((1+'Subcontract 1'!$M28)^('W2'!$B$20)*'W2'!$D$9+(1+'Subcontract 1'!$M28)^('W2'!$B$20+1)*'W2'!$D$10)/'W2'!$D$5*'Subcontract 1'!$E28,0),(IF(AND('Subcontract 1'!$S$4="Multi",'Subcontract 1'!$R$4="PY"),ROUND('Subcontract 1'!$E28*(1+'Subcontract 1'!$M28)/'W2'!$D$5*'W2'!$D$5,0),(IF(AND('Subcontract 1'!$S$4&lt;&gt;"Multi",'Subcontract 1'!$R$4="FY"),ROUND(((1+'Subcontract 1'!$S$4)^('W2'!$B$20)*'W2'!$D$9+(1+'Subcontract 1'!$S$4)^('W2'!$B$20+1)*'W2'!$D$10)/'W2'!$D$5*'Subcontract 1'!$E28,0),ROUND('Subcontract 1'!$E28*(1+'Subcontract 1'!$S$4)/'W2'!$D$5*'W2'!$D$5,0))))))),(IF(AND('Subcontract 1'!$S$4="Multi",'Subcontract 1'!$R$4="FY"),ROUND(((1+'Subcontract 1'!$M28)^('W2'!$B$20+1)*'W2'!$D$9+(1+'Subcontract 1'!$M28)^('W2'!$B$20+2)*'W2'!$D$10)/'W2'!$D$5*'Subcontract 1'!$E28,0),(IF(AND('Subcontract 1'!$S$4="Multi",'Subcontract 1'!$R$4="PY"),ROUND('Subcontract 1'!$E28*(1+'Subcontract 1'!$M28)/'W2'!$D$5*'W2'!$D$5,0),(IF(AND('Subcontract 1'!$S$4&lt;&gt;"Multi",'Subcontract 1'!$R$4="FY"),ROUND(((1+'Subcontract 1'!$S$4)^('W2'!$B$20+1)*'W2'!$D$9+(1+'Subcontract 1'!$S$4)^('W2'!$B$20+2)*'W2'!$D$10)/'W2'!$D$5*'Subcontract 1'!$E28,0),ROUND('Subcontract 1'!$E28*(1+'Subcontract 1'!$S$4)/'W2'!$D$5*'W2'!$D$5,0)))))))))</f>
        <v>0</v>
      </c>
      <c r="E348" s="300"/>
      <c r="F348" s="302" t="str">
        <f>IF('W2'!$E$5=0,"",IF($C$4=$D$4,(IF(AND('Subcontract 1'!$S$4="Multi",'Subcontract 1'!$R$4="FY"),ROUND(((1+'Subcontract 1'!$M28)^('W2'!$B$20+1)*'W2'!$E$9+(1+'Subcontract 1'!$M28)^('W2'!$B$20+3)*'W2'!$E$10)/'W2'!$E$5*'Subcontract 1'!$E28,0),(IF(AND('Subcontract 1'!$S$4="Multi",'Subcontract 1'!$R$4="PY"),ROUND('Subcontract 1'!$E28*((1+'Subcontract 1'!$M28)^2)/'W2'!$E$5*'W2'!$E$5,0),(IF(AND('Subcontract 1'!$S$4&lt;&gt;"Multi",'Subcontract 1'!$R$4="FY"),ROUND(((1+'Subcontract 1'!$S$4)^('W2'!$B$20+1)*'W2'!$E$9+(1+'Subcontract 1'!$S$4)^('W2'!$B$20+2)*'W2'!$E$10)/'W2'!$E$5*'Subcontract 1'!$E28,0),ROUND('Subcontract 1'!$E28*((1+'Subcontract 1'!$S$4)^2)/'W2'!$E$5*'W2'!$E$5,0))))))),(IF(AND('Subcontract 1'!$S$4="Multi",'Subcontract 1'!$R$4="FY"),ROUND(((1+'Subcontract 1'!$M28)^('W2'!$B$20+2)*'W2'!$E$9+(1+'Subcontract 1'!$M28)^('W2'!$B$20+3)*'W2'!$E$10)/'W2'!$E$5*'Subcontract 1'!$E28,0),(IF(AND('Subcontract 1'!$S$4="Multi",'Subcontract 1'!$R$4="PY"),ROUND('Subcontract 1'!$E28*((1+'Subcontract 1'!$M28)^2)/'W2'!$E$5*'W2'!$E$5,0),(IF(AND('Subcontract 1'!$S$4&lt;&gt;"Multi",'Subcontract 1'!$R$4="FY"),ROUND(((1+'Subcontract 1'!$S$4)^('W2'!$B$20+2)*'W2'!$E$9+(1+'Subcontract 1'!$S$4)^('W2'!$B$20+3)*'W2'!$E$10)/'W2'!$E$5*'Subcontract 1'!$E28,0),ROUND('Subcontract 1'!$E28*((1+'Subcontract 1'!$S$4)^2)/'W2'!$E$5*'W2'!$E$5,0)))))))))</f>
        <v/>
      </c>
      <c r="G348" s="300"/>
      <c r="H348" s="302" t="str">
        <f>IF('W2'!$F$5=0,"",IF($C$4=$D$4,(IF(AND('Subcontract 1'!$S$4="Multi",'Subcontract 1'!$R$4="FY"),ROUND(((1+'Subcontract 1'!$M28)^('W2'!$B$20+2)*'W2'!$F$9+(1+'Subcontract 1'!$M28)^('W2'!$B$20+3)*'W2'!$F$10)/'W2'!$F$5*'Subcontract 1'!$E28,0),(IF(AND('Subcontract 1'!$S$4="Multi",'Subcontract 1'!$R$4="PY"),ROUND('Subcontract 1'!$E28*((1+'Subcontract 1'!$M28)^3)/'W2'!$F$5*'W2'!$F$5,0),(IF(AND('Subcontract 1'!$S$4&lt;&gt;"Multi",'Subcontract 1'!$R$4="FY"),ROUND(((1+'Subcontract 1'!$S$4)^('W2'!$B$20+2)*'W2'!$F$9+(1+'Subcontract 1'!$S$4)^('W2'!$B$20+3)*'W2'!$F$10)/'W2'!$F$5*'Subcontract 1'!$E28,0),ROUND('Subcontract 1'!$E28*((1+'Subcontract 1'!$S$4)^3)/'W2'!$F$5*'W2'!$F$5,0))))))),(IF(AND('Subcontract 1'!$S$4="Multi",'Subcontract 1'!$R$4="FY"),ROUND(((1+'Subcontract 1'!$M28)^('W2'!$B$20+3)*'W2'!$F$9+(1+'Subcontract 1'!$M28)^('W2'!$B$20+4)*'W2'!$F$10)/'W2'!$F$5*'Subcontract 1'!$E28,0),(IF(AND('Subcontract 1'!$S$4="Multi",'Subcontract 1'!$R$4="PY"),ROUND('Subcontract 1'!$E28*((1+'Subcontract 1'!$M28)^3)/'W2'!$F$5*'W2'!$F$5,0),(IF(AND('Subcontract 1'!$S$4&lt;&gt;"Multi",'Subcontract 1'!$R$4="FY"),ROUND(((1+'Subcontract 1'!$S$4)^('W2'!$B$20+3)*'W2'!$F$9+(1+'Subcontract 1'!$S$4)^('W2'!$B$20+4)*'W2'!$F$10)/'W2'!$F$5*'Subcontract 1'!$E28,0),ROUND('Subcontract 1'!$E28*((1+'Subcontract 1'!$S$4)^3)/'W2'!$F$5*'W2'!$F$5,0)))))))))</f>
        <v/>
      </c>
      <c r="I348" s="300"/>
      <c r="J348" s="302" t="str">
        <f>IF('W2'!$G$5=0,"",IF($C$4=$D$4,(IF(AND('Subcontract 1'!$S$4="Multi",'Subcontract 1'!$R$4="FY"),ROUND(((1+'Subcontract 1'!$M28)^('W2'!$B$20+3)*'W2'!$G$9+(1+'Subcontract 1'!$M28)^('W2'!$B$20+4)*'W2'!$G$10)/'W2'!$G$5*'Subcontract 1'!$E28,0),(IF(AND('Subcontract 1'!$S$4="Multi",'Subcontract 1'!$R$4="PY"),ROUND('Subcontract 1'!$E28*((1+'Subcontract 1'!$M28)^4)/'W2'!$G$5*'W2'!$G$5,0),(IF(AND('Subcontract 1'!$S$4&lt;&gt;"Multi",'Subcontract 1'!$R$4="FY"),ROUND(((1+'Subcontract 1'!$S$4)^('W2'!$B$20+3)*'W2'!$G$9+(1+'Subcontract 1'!$S$4)^('W2'!$B$20+4)*'W2'!$G$10)/'W2'!$G$5*'Subcontract 1'!$E28,0),ROUND('Subcontract 1'!$E28*((1+'Subcontract 1'!$S$4)^4)/'W2'!$G$5*'W2'!$G$5,0))))))),(IF(AND('Subcontract 1'!$S$4="Multi",'Subcontract 1'!$R$4="FY"),ROUND(((1+'Subcontract 1'!$M28)^('W2'!$B$20+4)*'W2'!$G$9+(1+'Subcontract 1'!$M28)^('W2'!$B$20+5)*'W2'!$G$10)/'W2'!$G$5*'Subcontract 1'!$E28,0),(IF(AND('Subcontract 1'!$S$4="Multi",'Subcontract 1'!$R$4="PY"),ROUND('Subcontract 1'!$E28*((1+'Subcontract 1'!$M28)^4)/'W2'!$G$5*'W2'!$G$5,0),(IF(AND('Subcontract 1'!$S$4&lt;&gt;"Multi",'Subcontract 1'!$R$4="FY"),ROUND(((1+'Subcontract 1'!$S$4)^('W2'!$B$20+4)*'W2'!$G$9+(1+'Subcontract 1'!$S$4)^('W2'!$B$20+5)*'W2'!$G$10)/'W2'!$G$5*'Subcontract 1'!$E28,0),ROUND('Subcontract 1'!$E28*((1+'Subcontract 1'!$S$4)^4)/'W2'!$G$5*'W2'!$G$5,0)))))))))</f>
        <v/>
      </c>
      <c r="K348" s="300"/>
    </row>
    <row r="349" spans="1:11" x14ac:dyDescent="0.2">
      <c r="A349" s="82" t="e">
        <f>#REF!</f>
        <v>#REF!</v>
      </c>
      <c r="B349" s="302">
        <f>IF('W2'!$C$5=0,"",IF(AND('Subcontract 1'!$S$4="Multi",'Subcontract 1'!$R$4="FY"),ROUND(((1+'Subcontract 1'!$M29)^'W2'!$B$20*'W2'!$C$9+(1+'Subcontract 1'!$M29)^('W2'!$B$20+1)*'W2'!$C$10)/('W2'!$C$5)*'Subcontract 1'!$E29,0),(IF(AND('Subcontract 1'!$S$4="Multi",'Subcontract 1'!$R$4="PY"),ROUND('Subcontract 1'!$E29/('W2'!$C$5)*'W2'!$C$5,0),(IF(AND('Subcontract 1'!$S$4&lt;&gt;"Multi",'Subcontract 1'!$R$4="FY"),ROUND(((1+'Subcontract 1'!$S$4)^'W2'!$B$20*'W2'!$C$9+(1+'Subcontract 1'!$S$4)^('W2'!$B$20+1)*'W2'!$C$10)/'W2'!$C$5*'Subcontract 1'!$E29,0),ROUND('Subcontract 1'!$E29/'W2'!$C$5*'W2'!$C$5,0)))))))</f>
        <v>0</v>
      </c>
      <c r="C349" s="300"/>
      <c r="D349" s="302">
        <f>IF('W2'!$D$5=0,"",IF($C$4=$D$4,(IF(AND('Subcontract 1'!$S$4="Multi",'Subcontract 1'!$R$4="FY"),ROUND(((1+'Subcontract 1'!$M29)^('W2'!$B$20)*'W2'!$D$9+(1+'Subcontract 1'!$M29)^('W2'!$B$20+1)*'W2'!$D$10)/'W2'!$D$5*'Subcontract 1'!$E29,0),(IF(AND('Subcontract 1'!$S$4="Multi",'Subcontract 1'!$R$4="PY"),ROUND('Subcontract 1'!$E29*(1+'Subcontract 1'!$M29)/'W2'!$D$5*'W2'!$D$5,0),(IF(AND('Subcontract 1'!$S$4&lt;&gt;"Multi",'Subcontract 1'!$R$4="FY"),ROUND(((1+'Subcontract 1'!$S$4)^('W2'!$B$20)*'W2'!$D$9+(1+'Subcontract 1'!$S$4)^('W2'!$B$20+1)*'W2'!$D$10)/'W2'!$D$5*'Subcontract 1'!$E29,0),ROUND('Subcontract 1'!$E29*(1+'Subcontract 1'!$S$4)/'W2'!$D$5*'W2'!$D$5,0))))))),(IF(AND('Subcontract 1'!$S$4="Multi",'Subcontract 1'!$R$4="FY"),ROUND(((1+'Subcontract 1'!$M29)^('W2'!$B$20+1)*'W2'!$D$9+(1+'Subcontract 1'!$M29)^('W2'!$B$20+2)*'W2'!$D$10)/'W2'!$D$5*'Subcontract 1'!$E29,0),(IF(AND('Subcontract 1'!$S$4="Multi",'Subcontract 1'!$R$4="PY"),ROUND('Subcontract 1'!$E29*(1+'Subcontract 1'!$M29)/'W2'!$D$5*'W2'!$D$5,0),(IF(AND('Subcontract 1'!$S$4&lt;&gt;"Multi",'Subcontract 1'!$R$4="FY"),ROUND(((1+'Subcontract 1'!$S$4)^('W2'!$B$20+1)*'W2'!$D$9+(1+'Subcontract 1'!$S$4)^('W2'!$B$20+2)*'W2'!$D$10)/'W2'!$D$5*'Subcontract 1'!$E29,0),ROUND('Subcontract 1'!$E29*(1+'Subcontract 1'!$S$4)/'W2'!$D$5*'W2'!$D$5,0)))))))))</f>
        <v>0</v>
      </c>
      <c r="E349" s="300"/>
      <c r="F349" s="302" t="str">
        <f>IF('W2'!$E$5=0,"",IF($C$4=$D$4,(IF(AND('Subcontract 1'!$S$4="Multi",'Subcontract 1'!$R$4="FY"),ROUND(((1+'Subcontract 1'!$M29)^('W2'!$B$20+1)*'W2'!$E$9+(1+'Subcontract 1'!$M29)^('W2'!$B$20+3)*'W2'!$E$10)/'W2'!$E$5*'Subcontract 1'!$E29,0),(IF(AND('Subcontract 1'!$S$4="Multi",'Subcontract 1'!$R$4="PY"),ROUND('Subcontract 1'!$E29*((1+'Subcontract 1'!$M29)^2)/'W2'!$E$5*'W2'!$E$5,0),(IF(AND('Subcontract 1'!$S$4&lt;&gt;"Multi",'Subcontract 1'!$R$4="FY"),ROUND(((1+'Subcontract 1'!$S$4)^('W2'!$B$20+1)*'W2'!$E$9+(1+'Subcontract 1'!$S$4)^('W2'!$B$20+2)*'W2'!$E$10)/'W2'!$E$5*'Subcontract 1'!$E29,0),ROUND('Subcontract 1'!$E29*((1+'Subcontract 1'!$S$4)^2)/'W2'!$E$5*'W2'!$E$5,0))))))),(IF(AND('Subcontract 1'!$S$4="Multi",'Subcontract 1'!$R$4="FY"),ROUND(((1+'Subcontract 1'!$M29)^('W2'!$B$20+2)*'W2'!$E$9+(1+'Subcontract 1'!$M29)^('W2'!$B$20+3)*'W2'!$E$10)/'W2'!$E$5*'Subcontract 1'!$E29,0),(IF(AND('Subcontract 1'!$S$4="Multi",'Subcontract 1'!$R$4="PY"),ROUND('Subcontract 1'!$E29*((1+'Subcontract 1'!$M29)^2)/'W2'!$E$5*'W2'!$E$5,0),(IF(AND('Subcontract 1'!$S$4&lt;&gt;"Multi",'Subcontract 1'!$R$4="FY"),ROUND(((1+'Subcontract 1'!$S$4)^('W2'!$B$20+2)*'W2'!$E$9+(1+'Subcontract 1'!$S$4)^('W2'!$B$20+3)*'W2'!$E$10)/'W2'!$E$5*'Subcontract 1'!$E29,0),ROUND('Subcontract 1'!$E29*((1+'Subcontract 1'!$S$4)^2)/'W2'!$E$5*'W2'!$E$5,0)))))))))</f>
        <v/>
      </c>
      <c r="G349" s="300"/>
      <c r="H349" s="302" t="str">
        <f>IF('W2'!$F$5=0,"",IF($C$4=$D$4,(IF(AND('Subcontract 1'!$S$4="Multi",'Subcontract 1'!$R$4="FY"),ROUND(((1+'Subcontract 1'!$M29)^('W2'!$B$20+2)*'W2'!$F$9+(1+'Subcontract 1'!$M29)^('W2'!$B$20+3)*'W2'!$F$10)/'W2'!$F$5*'Subcontract 1'!$E29,0),(IF(AND('Subcontract 1'!$S$4="Multi",'Subcontract 1'!$R$4="PY"),ROUND('Subcontract 1'!$E29*((1+'Subcontract 1'!$M29)^3)/'W2'!$F$5*'W2'!$F$5,0),(IF(AND('Subcontract 1'!$S$4&lt;&gt;"Multi",'Subcontract 1'!$R$4="FY"),ROUND(((1+'Subcontract 1'!$S$4)^('W2'!$B$20+2)*'W2'!$F$9+(1+'Subcontract 1'!$S$4)^('W2'!$B$20+3)*'W2'!$F$10)/'W2'!$F$5*'Subcontract 1'!$E29,0),ROUND('Subcontract 1'!$E29*((1+'Subcontract 1'!$S$4)^3)/'W2'!$F$5*'W2'!$F$5,0))))))),(IF(AND('Subcontract 1'!$S$4="Multi",'Subcontract 1'!$R$4="FY"),ROUND(((1+'Subcontract 1'!$M29)^('W2'!$B$20+3)*'W2'!$F$9+(1+'Subcontract 1'!$M29)^('W2'!$B$20+4)*'W2'!$F$10)/'W2'!$F$5*'Subcontract 1'!$E29,0),(IF(AND('Subcontract 1'!$S$4="Multi",'Subcontract 1'!$R$4="PY"),ROUND('Subcontract 1'!$E29*((1+'Subcontract 1'!$M29)^3)/'W2'!$F$5*'W2'!$F$5,0),(IF(AND('Subcontract 1'!$S$4&lt;&gt;"Multi",'Subcontract 1'!$R$4="FY"),ROUND(((1+'Subcontract 1'!$S$4)^('W2'!$B$20+3)*'W2'!$F$9+(1+'Subcontract 1'!$S$4)^('W2'!$B$20+4)*'W2'!$F$10)/'W2'!$F$5*'Subcontract 1'!$E29,0),ROUND('Subcontract 1'!$E29*((1+'Subcontract 1'!$S$4)^3)/'W2'!$F$5*'W2'!$F$5,0)))))))))</f>
        <v/>
      </c>
      <c r="I349" s="300"/>
      <c r="J349" s="302" t="str">
        <f>IF('W2'!$G$5=0,"",IF($C$4=$D$4,(IF(AND('Subcontract 1'!$S$4="Multi",'Subcontract 1'!$R$4="FY"),ROUND(((1+'Subcontract 1'!$M29)^('W2'!$B$20+3)*'W2'!$G$9+(1+'Subcontract 1'!$M29)^('W2'!$B$20+4)*'W2'!$G$10)/'W2'!$G$5*'Subcontract 1'!$E29,0),(IF(AND('Subcontract 1'!$S$4="Multi",'Subcontract 1'!$R$4="PY"),ROUND('Subcontract 1'!$E29*((1+'Subcontract 1'!$M29)^4)/'W2'!$G$5*'W2'!$G$5,0),(IF(AND('Subcontract 1'!$S$4&lt;&gt;"Multi",'Subcontract 1'!$R$4="FY"),ROUND(((1+'Subcontract 1'!$S$4)^('W2'!$B$20+3)*'W2'!$G$9+(1+'Subcontract 1'!$S$4)^('W2'!$B$20+4)*'W2'!$G$10)/'W2'!$G$5*'Subcontract 1'!$E29,0),ROUND('Subcontract 1'!$E29*((1+'Subcontract 1'!$S$4)^4)/'W2'!$G$5*'W2'!$G$5,0))))))),(IF(AND('Subcontract 1'!$S$4="Multi",'Subcontract 1'!$R$4="FY"),ROUND(((1+'Subcontract 1'!$M29)^('W2'!$B$20+4)*'W2'!$G$9+(1+'Subcontract 1'!$M29)^('W2'!$B$20+5)*'W2'!$G$10)/'W2'!$G$5*'Subcontract 1'!$E29,0),(IF(AND('Subcontract 1'!$S$4="Multi",'Subcontract 1'!$R$4="PY"),ROUND('Subcontract 1'!$E29*((1+'Subcontract 1'!$M29)^4)/'W2'!$G$5*'W2'!$G$5,0),(IF(AND('Subcontract 1'!$S$4&lt;&gt;"Multi",'Subcontract 1'!$R$4="FY"),ROUND(((1+'Subcontract 1'!$S$4)^('W2'!$B$20+4)*'W2'!$G$9+(1+'Subcontract 1'!$S$4)^('W2'!$B$20+5)*'W2'!$G$10)/'W2'!$G$5*'Subcontract 1'!$E29,0),ROUND('Subcontract 1'!$E29*((1+'Subcontract 1'!$S$4)^4)/'W2'!$G$5*'W2'!$G$5,0)))))))))</f>
        <v/>
      </c>
      <c r="K349" s="300"/>
    </row>
    <row r="350" spans="1:11" x14ac:dyDescent="0.2">
      <c r="A350" s="82" t="e">
        <f>#REF!</f>
        <v>#REF!</v>
      </c>
      <c r="B350" s="302">
        <f>IF('W2'!$C$5=0,"",IF(AND('Subcontract 1'!$S$4="Multi",'Subcontract 1'!$R$4="FY"),ROUND(((1+'Subcontract 1'!$M30)^'W2'!$B$20*'W2'!$C$9+(1+'Subcontract 1'!$M30)^('W2'!$B$20+1)*'W2'!$C$10)/('W2'!$C$5)*'Subcontract 1'!$E30,0),(IF(AND('Subcontract 1'!$S$4="Multi",'Subcontract 1'!$R$4="PY"),ROUND('Subcontract 1'!$E30/('W2'!$C$5)*'W2'!$C$5,0),(IF(AND('Subcontract 1'!$S$4&lt;&gt;"Multi",'Subcontract 1'!$R$4="FY"),ROUND(((1+'Subcontract 1'!$S$4)^'W2'!$B$20*'W2'!$C$9+(1+'Subcontract 1'!$S$4)^('W2'!$B$20+1)*'W2'!$C$10)/'W2'!$C$5*'Subcontract 1'!$E30,0),ROUND('Subcontract 1'!$E30/'W2'!$C$5*'W2'!$C$5,0)))))))</f>
        <v>0</v>
      </c>
      <c r="C350" s="300"/>
      <c r="D350" s="302">
        <f>IF('W2'!$D$5=0,"",IF($C$4=$D$4,(IF(AND('Subcontract 1'!$S$4="Multi",'Subcontract 1'!$R$4="FY"),ROUND(((1+'Subcontract 1'!$M30)^('W2'!$B$20)*'W2'!$D$9+(1+'Subcontract 1'!$M30)^('W2'!$B$20+1)*'W2'!$D$10)/'W2'!$D$5*'Subcontract 1'!$E30,0),(IF(AND('Subcontract 1'!$S$4="Multi",'Subcontract 1'!$R$4="PY"),ROUND('Subcontract 1'!$E30*(1+'Subcontract 1'!$M30)/'W2'!$D$5*'W2'!$D$5,0),(IF(AND('Subcontract 1'!$S$4&lt;&gt;"Multi",'Subcontract 1'!$R$4="FY"),ROUND(((1+'Subcontract 1'!$S$4)^('W2'!$B$20)*'W2'!$D$9+(1+'Subcontract 1'!$S$4)^('W2'!$B$20+1)*'W2'!$D$10)/'W2'!$D$5*'Subcontract 1'!$E30,0),ROUND('Subcontract 1'!$E30*(1+'Subcontract 1'!$S$4)/'W2'!$D$5*'W2'!$D$5,0))))))),(IF(AND('Subcontract 1'!$S$4="Multi",'Subcontract 1'!$R$4="FY"),ROUND(((1+'Subcontract 1'!$M30)^('W2'!$B$20+1)*'W2'!$D$9+(1+'Subcontract 1'!$M30)^('W2'!$B$20+2)*'W2'!$D$10)/'W2'!$D$5*'Subcontract 1'!$E30,0),(IF(AND('Subcontract 1'!$S$4="Multi",'Subcontract 1'!$R$4="PY"),ROUND('Subcontract 1'!$E30*(1+'Subcontract 1'!$M30)/'W2'!$D$5*'W2'!$D$5,0),(IF(AND('Subcontract 1'!$S$4&lt;&gt;"Multi",'Subcontract 1'!$R$4="FY"),ROUND(((1+'Subcontract 1'!$S$4)^('W2'!$B$20+1)*'W2'!$D$9+(1+'Subcontract 1'!$S$4)^('W2'!$B$20+2)*'W2'!$D$10)/'W2'!$D$5*'Subcontract 1'!$E30,0),ROUND('Subcontract 1'!$E30*(1+'Subcontract 1'!$S$4)/'W2'!$D$5*'W2'!$D$5,0)))))))))</f>
        <v>0</v>
      </c>
      <c r="E350" s="300"/>
      <c r="F350" s="302" t="str">
        <f>IF('W2'!$E$5=0,"",IF($C$4=$D$4,(IF(AND('Subcontract 1'!$S$4="Multi",'Subcontract 1'!$R$4="FY"),ROUND(((1+'Subcontract 1'!$M30)^('W2'!$B$20+1)*'W2'!$E$9+(1+'Subcontract 1'!$M30)^('W2'!$B$20+3)*'W2'!$E$10)/'W2'!$E$5*'Subcontract 1'!$E30,0),(IF(AND('Subcontract 1'!$S$4="Multi",'Subcontract 1'!$R$4="PY"),ROUND('Subcontract 1'!$E30*((1+'Subcontract 1'!$M30)^2)/'W2'!$E$5*'W2'!$E$5,0),(IF(AND('Subcontract 1'!$S$4&lt;&gt;"Multi",'Subcontract 1'!$R$4="FY"),ROUND(((1+'Subcontract 1'!$S$4)^('W2'!$B$20+1)*'W2'!$E$9+(1+'Subcontract 1'!$S$4)^('W2'!$B$20+2)*'W2'!$E$10)/'W2'!$E$5*'Subcontract 1'!$E30,0),ROUND('Subcontract 1'!$E30*((1+'Subcontract 1'!$S$4)^2)/'W2'!$E$5*'W2'!$E$5,0))))))),(IF(AND('Subcontract 1'!$S$4="Multi",'Subcontract 1'!$R$4="FY"),ROUND(((1+'Subcontract 1'!$M30)^('W2'!$B$20+2)*'W2'!$E$9+(1+'Subcontract 1'!$M30)^('W2'!$B$20+3)*'W2'!$E$10)/'W2'!$E$5*'Subcontract 1'!$E30,0),(IF(AND('Subcontract 1'!$S$4="Multi",'Subcontract 1'!$R$4="PY"),ROUND('Subcontract 1'!$E30*((1+'Subcontract 1'!$M30)^2)/'W2'!$E$5*'W2'!$E$5,0),(IF(AND('Subcontract 1'!$S$4&lt;&gt;"Multi",'Subcontract 1'!$R$4="FY"),ROUND(((1+'Subcontract 1'!$S$4)^('W2'!$B$20+2)*'W2'!$E$9+(1+'Subcontract 1'!$S$4)^('W2'!$B$20+3)*'W2'!$E$10)/'W2'!$E$5*'Subcontract 1'!$E30,0),ROUND('Subcontract 1'!$E30*((1+'Subcontract 1'!$S$4)^2)/'W2'!$E$5*'W2'!$E$5,0)))))))))</f>
        <v/>
      </c>
      <c r="G350" s="300"/>
      <c r="H350" s="302" t="str">
        <f>IF('W2'!$F$5=0,"",IF($C$4=$D$4,(IF(AND('Subcontract 1'!$S$4="Multi",'Subcontract 1'!$R$4="FY"),ROUND(((1+'Subcontract 1'!$M30)^('W2'!$B$20+2)*'W2'!$F$9+(1+'Subcontract 1'!$M30)^('W2'!$B$20+3)*'W2'!$F$10)/'W2'!$F$5*'Subcontract 1'!$E30,0),(IF(AND('Subcontract 1'!$S$4="Multi",'Subcontract 1'!$R$4="PY"),ROUND('Subcontract 1'!$E30*((1+'Subcontract 1'!$M30)^3)/'W2'!$F$5*'W2'!$F$5,0),(IF(AND('Subcontract 1'!$S$4&lt;&gt;"Multi",'Subcontract 1'!$R$4="FY"),ROUND(((1+'Subcontract 1'!$S$4)^('W2'!$B$20+2)*'W2'!$F$9+(1+'Subcontract 1'!$S$4)^('W2'!$B$20+3)*'W2'!$F$10)/'W2'!$F$5*'Subcontract 1'!$E30,0),ROUND('Subcontract 1'!$E30*((1+'Subcontract 1'!$S$4)^3)/'W2'!$F$5*'W2'!$F$5,0))))))),(IF(AND('Subcontract 1'!$S$4="Multi",'Subcontract 1'!$R$4="FY"),ROUND(((1+'Subcontract 1'!$M30)^('W2'!$B$20+3)*'W2'!$F$9+(1+'Subcontract 1'!$M30)^('W2'!$B$20+4)*'W2'!$F$10)/'W2'!$F$5*'Subcontract 1'!$E30,0),(IF(AND('Subcontract 1'!$S$4="Multi",'Subcontract 1'!$R$4="PY"),ROUND('Subcontract 1'!$E30*((1+'Subcontract 1'!$M30)^3)/'W2'!$F$5*'W2'!$F$5,0),(IF(AND('Subcontract 1'!$S$4&lt;&gt;"Multi",'Subcontract 1'!$R$4="FY"),ROUND(((1+'Subcontract 1'!$S$4)^('W2'!$B$20+3)*'W2'!$F$9+(1+'Subcontract 1'!$S$4)^('W2'!$B$20+4)*'W2'!$F$10)/'W2'!$F$5*'Subcontract 1'!$E30,0),ROUND('Subcontract 1'!$E30*((1+'Subcontract 1'!$S$4)^3)/'W2'!$F$5*'W2'!$F$5,0)))))))))</f>
        <v/>
      </c>
      <c r="I350" s="300"/>
      <c r="J350" s="302" t="str">
        <f>IF('W2'!$G$5=0,"",IF($C$4=$D$4,(IF(AND('Subcontract 1'!$S$4="Multi",'Subcontract 1'!$R$4="FY"),ROUND(((1+'Subcontract 1'!$M30)^('W2'!$B$20+3)*'W2'!$G$9+(1+'Subcontract 1'!$M30)^('W2'!$B$20+4)*'W2'!$G$10)/'W2'!$G$5*'Subcontract 1'!$E30,0),(IF(AND('Subcontract 1'!$S$4="Multi",'Subcontract 1'!$R$4="PY"),ROUND('Subcontract 1'!$E30*((1+'Subcontract 1'!$M30)^4)/'W2'!$G$5*'W2'!$G$5,0),(IF(AND('Subcontract 1'!$S$4&lt;&gt;"Multi",'Subcontract 1'!$R$4="FY"),ROUND(((1+'Subcontract 1'!$S$4)^('W2'!$B$20+3)*'W2'!$G$9+(1+'Subcontract 1'!$S$4)^('W2'!$B$20+4)*'W2'!$G$10)/'W2'!$G$5*'Subcontract 1'!$E30,0),ROUND('Subcontract 1'!$E30*((1+'Subcontract 1'!$S$4)^4)/'W2'!$G$5*'W2'!$G$5,0))))))),(IF(AND('Subcontract 1'!$S$4="Multi",'Subcontract 1'!$R$4="FY"),ROUND(((1+'Subcontract 1'!$M30)^('W2'!$B$20+4)*'W2'!$G$9+(1+'Subcontract 1'!$M30)^('W2'!$B$20+5)*'W2'!$G$10)/'W2'!$G$5*'Subcontract 1'!$E30,0),(IF(AND('Subcontract 1'!$S$4="Multi",'Subcontract 1'!$R$4="PY"),ROUND('Subcontract 1'!$E30*((1+'Subcontract 1'!$M30)^4)/'W2'!$G$5*'W2'!$G$5,0),(IF(AND('Subcontract 1'!$S$4&lt;&gt;"Multi",'Subcontract 1'!$R$4="FY"),ROUND(((1+'Subcontract 1'!$S$4)^('W2'!$B$20+4)*'W2'!$G$9+(1+'Subcontract 1'!$S$4)^('W2'!$B$20+5)*'W2'!$G$10)/'W2'!$G$5*'Subcontract 1'!$E30,0),ROUND('Subcontract 1'!$E30*((1+'Subcontract 1'!$S$4)^4)/'W2'!$G$5*'W2'!$G$5,0)))))))))</f>
        <v/>
      </c>
      <c r="K350" s="300"/>
    </row>
    <row r="351" spans="1:11" x14ac:dyDescent="0.2">
      <c r="A351" s="82" t="e">
        <f>#REF!</f>
        <v>#REF!</v>
      </c>
      <c r="B351" s="302">
        <f>IF('W2'!$C$5=0,"",IF(AND('Subcontract 1'!$S$4="Multi",'Subcontract 1'!$R$4="FY"),ROUND(((1+'Subcontract 1'!$M31)^'W2'!$B$20*'W2'!$C$9+(1+'Subcontract 1'!$M31)^('W2'!$B$20+1)*'W2'!$C$10)/('W2'!$C$5)*'Subcontract 1'!$E31,0),(IF(AND('Subcontract 1'!$S$4="Multi",'Subcontract 1'!$R$4="PY"),ROUND('Subcontract 1'!$E31/('W2'!$C$5)*'W2'!$C$5,0),(IF(AND('Subcontract 1'!$S$4&lt;&gt;"Multi",'Subcontract 1'!$R$4="FY"),ROUND(((1+'Subcontract 1'!$S$4)^'W2'!$B$20*'W2'!$C$9+(1+'Subcontract 1'!$S$4)^('W2'!$B$20+1)*'W2'!$C$10)/'W2'!$C$5*'Subcontract 1'!$E31,0),ROUND('Subcontract 1'!$E31/'W2'!$C$5*'W2'!$C$5,0)))))))</f>
        <v>0</v>
      </c>
      <c r="C351" s="300"/>
      <c r="D351" s="302">
        <f>IF('W2'!$D$5=0,"",IF($C$4=$D$4,(IF(AND('Subcontract 1'!$S$4="Multi",'Subcontract 1'!$R$4="FY"),ROUND(((1+'Subcontract 1'!$M31)^('W2'!$B$20)*'W2'!$D$9+(1+'Subcontract 1'!$M31)^('W2'!$B$20+1)*'W2'!$D$10)/'W2'!$D$5*'Subcontract 1'!$E31,0),(IF(AND('Subcontract 1'!$S$4="Multi",'Subcontract 1'!$R$4="PY"),ROUND('Subcontract 1'!$E31*(1+'Subcontract 1'!$M31)/'W2'!$D$5*'W2'!$D$5,0),(IF(AND('Subcontract 1'!$S$4&lt;&gt;"Multi",'Subcontract 1'!$R$4="FY"),ROUND(((1+'Subcontract 1'!$S$4)^('W2'!$B$20)*'W2'!$D$9+(1+'Subcontract 1'!$S$4)^('W2'!$B$20+1)*'W2'!$D$10)/'W2'!$D$5*'Subcontract 1'!$E31,0),ROUND('Subcontract 1'!$E31*(1+'Subcontract 1'!$S$4)/'W2'!$D$5*'W2'!$D$5,0))))))),(IF(AND('Subcontract 1'!$S$4="Multi",'Subcontract 1'!$R$4="FY"),ROUND(((1+'Subcontract 1'!$M31)^('W2'!$B$20+1)*'W2'!$D$9+(1+'Subcontract 1'!$M31)^('W2'!$B$20+2)*'W2'!$D$10)/'W2'!$D$5*'Subcontract 1'!$E31,0),(IF(AND('Subcontract 1'!$S$4="Multi",'Subcontract 1'!$R$4="PY"),ROUND('Subcontract 1'!$E31*(1+'Subcontract 1'!$M31)/'W2'!$D$5*'W2'!$D$5,0),(IF(AND('Subcontract 1'!$S$4&lt;&gt;"Multi",'Subcontract 1'!$R$4="FY"),ROUND(((1+'Subcontract 1'!$S$4)^('W2'!$B$20+1)*'W2'!$D$9+(1+'Subcontract 1'!$S$4)^('W2'!$B$20+2)*'W2'!$D$10)/'W2'!$D$5*'Subcontract 1'!$E31,0),ROUND('Subcontract 1'!$E31*(1+'Subcontract 1'!$S$4)/'W2'!$D$5*'W2'!$D$5,0)))))))))</f>
        <v>0</v>
      </c>
      <c r="E351" s="300"/>
      <c r="F351" s="302" t="str">
        <f>IF('W2'!$E$5=0,"",IF($C$4=$D$4,(IF(AND('Subcontract 1'!$S$4="Multi",'Subcontract 1'!$R$4="FY"),ROUND(((1+'Subcontract 1'!$M31)^('W2'!$B$20+1)*'W2'!$E$9+(1+'Subcontract 1'!$M31)^('W2'!$B$20+3)*'W2'!$E$10)/'W2'!$E$5*'Subcontract 1'!$E31,0),(IF(AND('Subcontract 1'!$S$4="Multi",'Subcontract 1'!$R$4="PY"),ROUND('Subcontract 1'!$E31*((1+'Subcontract 1'!$M31)^2)/'W2'!$E$5*'W2'!$E$5,0),(IF(AND('Subcontract 1'!$S$4&lt;&gt;"Multi",'Subcontract 1'!$R$4="FY"),ROUND(((1+'Subcontract 1'!$S$4)^('W2'!$B$20+1)*'W2'!$E$9+(1+'Subcontract 1'!$S$4)^('W2'!$B$20+2)*'W2'!$E$10)/'W2'!$E$5*'Subcontract 1'!$E31,0),ROUND('Subcontract 1'!$E31*((1+'Subcontract 1'!$S$4)^2)/'W2'!$E$5*'W2'!$E$5,0))))))),(IF(AND('Subcontract 1'!$S$4="Multi",'Subcontract 1'!$R$4="FY"),ROUND(((1+'Subcontract 1'!$M31)^('W2'!$B$20+2)*'W2'!$E$9+(1+'Subcontract 1'!$M31)^('W2'!$B$20+3)*'W2'!$E$10)/'W2'!$E$5*'Subcontract 1'!$E31,0),(IF(AND('Subcontract 1'!$S$4="Multi",'Subcontract 1'!$R$4="PY"),ROUND('Subcontract 1'!$E31*((1+'Subcontract 1'!$M31)^2)/'W2'!$E$5*'W2'!$E$5,0),(IF(AND('Subcontract 1'!$S$4&lt;&gt;"Multi",'Subcontract 1'!$R$4="FY"),ROUND(((1+'Subcontract 1'!$S$4)^('W2'!$B$20+2)*'W2'!$E$9+(1+'Subcontract 1'!$S$4)^('W2'!$B$20+3)*'W2'!$E$10)/'W2'!$E$5*'Subcontract 1'!$E31,0),ROUND('Subcontract 1'!$E31*((1+'Subcontract 1'!$S$4)^2)/'W2'!$E$5*'W2'!$E$5,0)))))))))</f>
        <v/>
      </c>
      <c r="G351" s="300"/>
      <c r="H351" s="302" t="str">
        <f>IF('W2'!$F$5=0,"",IF($C$4=$D$4,(IF(AND('Subcontract 1'!$S$4="Multi",'Subcontract 1'!$R$4="FY"),ROUND(((1+'Subcontract 1'!$M31)^('W2'!$B$20+2)*'W2'!$F$9+(1+'Subcontract 1'!$M31)^('W2'!$B$20+3)*'W2'!$F$10)/'W2'!$F$5*'Subcontract 1'!$E31,0),(IF(AND('Subcontract 1'!$S$4="Multi",'Subcontract 1'!$R$4="PY"),ROUND('Subcontract 1'!$E31*((1+'Subcontract 1'!$M31)^3)/'W2'!$F$5*'W2'!$F$5,0),(IF(AND('Subcontract 1'!$S$4&lt;&gt;"Multi",'Subcontract 1'!$R$4="FY"),ROUND(((1+'Subcontract 1'!$S$4)^('W2'!$B$20+2)*'W2'!$F$9+(1+'Subcontract 1'!$S$4)^('W2'!$B$20+3)*'W2'!$F$10)/'W2'!$F$5*'Subcontract 1'!$E31,0),ROUND('Subcontract 1'!$E31*((1+'Subcontract 1'!$S$4)^3)/'W2'!$F$5*'W2'!$F$5,0))))))),(IF(AND('Subcontract 1'!$S$4="Multi",'Subcontract 1'!$R$4="FY"),ROUND(((1+'Subcontract 1'!$M31)^('W2'!$B$20+3)*'W2'!$F$9+(1+'Subcontract 1'!$M31)^('W2'!$B$20+4)*'W2'!$F$10)/'W2'!$F$5*'Subcontract 1'!$E31,0),(IF(AND('Subcontract 1'!$S$4="Multi",'Subcontract 1'!$R$4="PY"),ROUND('Subcontract 1'!$E31*((1+'Subcontract 1'!$M31)^3)/'W2'!$F$5*'W2'!$F$5,0),(IF(AND('Subcontract 1'!$S$4&lt;&gt;"Multi",'Subcontract 1'!$R$4="FY"),ROUND(((1+'Subcontract 1'!$S$4)^('W2'!$B$20+3)*'W2'!$F$9+(1+'Subcontract 1'!$S$4)^('W2'!$B$20+4)*'W2'!$F$10)/'W2'!$F$5*'Subcontract 1'!$E31,0),ROUND('Subcontract 1'!$E31*((1+'Subcontract 1'!$S$4)^3)/'W2'!$F$5*'W2'!$F$5,0)))))))))</f>
        <v/>
      </c>
      <c r="I351" s="300"/>
      <c r="J351" s="302" t="str">
        <f>IF('W2'!$G$5=0,"",IF($C$4=$D$4,(IF(AND('Subcontract 1'!$S$4="Multi",'Subcontract 1'!$R$4="FY"),ROUND(((1+'Subcontract 1'!$M31)^('W2'!$B$20+3)*'W2'!$G$9+(1+'Subcontract 1'!$M31)^('W2'!$B$20+4)*'W2'!$G$10)/'W2'!$G$5*'Subcontract 1'!$E31,0),(IF(AND('Subcontract 1'!$S$4="Multi",'Subcontract 1'!$R$4="PY"),ROUND('Subcontract 1'!$E31*((1+'Subcontract 1'!$M31)^4)/'W2'!$G$5*'W2'!$G$5,0),(IF(AND('Subcontract 1'!$S$4&lt;&gt;"Multi",'Subcontract 1'!$R$4="FY"),ROUND(((1+'Subcontract 1'!$S$4)^('W2'!$B$20+3)*'W2'!$G$9+(1+'Subcontract 1'!$S$4)^('W2'!$B$20+4)*'W2'!$G$10)/'W2'!$G$5*'Subcontract 1'!$E31,0),ROUND('Subcontract 1'!$E31*((1+'Subcontract 1'!$S$4)^4)/'W2'!$G$5*'W2'!$G$5,0))))))),(IF(AND('Subcontract 1'!$S$4="Multi",'Subcontract 1'!$R$4="FY"),ROUND(((1+'Subcontract 1'!$M31)^('W2'!$B$20+4)*'W2'!$G$9+(1+'Subcontract 1'!$M31)^('W2'!$B$20+5)*'W2'!$G$10)/'W2'!$G$5*'Subcontract 1'!$E31,0),(IF(AND('Subcontract 1'!$S$4="Multi",'Subcontract 1'!$R$4="PY"),ROUND('Subcontract 1'!$E31*((1+'Subcontract 1'!$M31)^4)/'W2'!$G$5*'W2'!$G$5,0),(IF(AND('Subcontract 1'!$S$4&lt;&gt;"Multi",'Subcontract 1'!$R$4="FY"),ROUND(((1+'Subcontract 1'!$S$4)^('W2'!$B$20+4)*'W2'!$G$9+(1+'Subcontract 1'!$S$4)^('W2'!$B$20+5)*'W2'!$G$10)/'W2'!$G$5*'Subcontract 1'!$E31,0),ROUND('Subcontract 1'!$E31*((1+'Subcontract 1'!$S$4)^4)/'W2'!$G$5*'W2'!$G$5,0)))))))))</f>
        <v/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>
        <f>IF(B328="","",ROUND(B328/12*9,0))</f>
        <v>0</v>
      </c>
      <c r="C354" s="300"/>
      <c r="D354" s="299">
        <f>IF(D328="","",ROUND(D328/12*9,0))</f>
        <v>0</v>
      </c>
      <c r="E354" s="300"/>
      <c r="F354" s="299" t="str">
        <f>IF(F328="","",ROUND(F328/12*9,0))</f>
        <v/>
      </c>
      <c r="G354" s="300"/>
      <c r="H354" s="299" t="str">
        <f>IF(H328="","",ROUND(H328/12*9,0))</f>
        <v/>
      </c>
      <c r="I354" s="300"/>
      <c r="J354" s="299" t="str">
        <f>IF(J328="","",ROUND(J328/12*9,0))</f>
        <v/>
      </c>
      <c r="K354" s="300"/>
    </row>
    <row r="355" spans="1:11" x14ac:dyDescent="0.2">
      <c r="A355" s="82"/>
      <c r="B355" s="299">
        <f t="shared" ref="B355:B377" si="69">IF(B329="","",ROUND(B329/12*9,0))</f>
        <v>0</v>
      </c>
      <c r="C355" s="300"/>
      <c r="D355" s="299">
        <f t="shared" ref="D355:D377" si="70">IF(D329="","",ROUND(D329/12*9,0))</f>
        <v>0</v>
      </c>
      <c r="E355" s="300"/>
      <c r="F355" s="299" t="str">
        <f t="shared" ref="F355:F377" si="71">IF(F329="","",ROUND(F329/12*9,0))</f>
        <v/>
      </c>
      <c r="G355" s="300"/>
      <c r="H355" s="299" t="str">
        <f t="shared" ref="H355:H377" si="72">IF(H329="","",ROUND(H329/12*9,0))</f>
        <v/>
      </c>
      <c r="I355" s="300"/>
      <c r="J355" s="299" t="str">
        <f t="shared" ref="J355:J377" si="73">IF(J329="","",ROUND(J329/12*9,0))</f>
        <v/>
      </c>
      <c r="K355" s="300"/>
    </row>
    <row r="356" spans="1:11" x14ac:dyDescent="0.2">
      <c r="A356" s="82"/>
      <c r="B356" s="299">
        <f t="shared" si="69"/>
        <v>0</v>
      </c>
      <c r="C356" s="300"/>
      <c r="D356" s="299">
        <f t="shared" si="70"/>
        <v>0</v>
      </c>
      <c r="E356" s="300"/>
      <c r="F356" s="299" t="str">
        <f t="shared" si="71"/>
        <v/>
      </c>
      <c r="G356" s="300"/>
      <c r="H356" s="299" t="str">
        <f t="shared" si="72"/>
        <v/>
      </c>
      <c r="I356" s="300"/>
      <c r="J356" s="299" t="str">
        <f t="shared" si="73"/>
        <v/>
      </c>
      <c r="K356" s="300"/>
    </row>
    <row r="357" spans="1:11" x14ac:dyDescent="0.2">
      <c r="A357" s="82"/>
      <c r="B357" s="299">
        <f t="shared" si="69"/>
        <v>0</v>
      </c>
      <c r="C357" s="300"/>
      <c r="D357" s="299">
        <f t="shared" si="70"/>
        <v>0</v>
      </c>
      <c r="E357" s="300"/>
      <c r="F357" s="299" t="str">
        <f t="shared" si="71"/>
        <v/>
      </c>
      <c r="G357" s="300"/>
      <c r="H357" s="299" t="str">
        <f t="shared" si="72"/>
        <v/>
      </c>
      <c r="I357" s="300"/>
      <c r="J357" s="299" t="str">
        <f t="shared" si="73"/>
        <v/>
      </c>
      <c r="K357" s="300"/>
    </row>
    <row r="358" spans="1:11" x14ac:dyDescent="0.2">
      <c r="A358" s="82"/>
      <c r="B358" s="299">
        <f t="shared" si="69"/>
        <v>0</v>
      </c>
      <c r="C358" s="300"/>
      <c r="D358" s="299">
        <f t="shared" si="70"/>
        <v>0</v>
      </c>
      <c r="E358" s="300"/>
      <c r="F358" s="299" t="str">
        <f t="shared" si="71"/>
        <v/>
      </c>
      <c r="G358" s="300"/>
      <c r="H358" s="299" t="str">
        <f t="shared" si="72"/>
        <v/>
      </c>
      <c r="I358" s="300"/>
      <c r="J358" s="299" t="str">
        <f t="shared" si="73"/>
        <v/>
      </c>
      <c r="K358" s="300"/>
    </row>
    <row r="359" spans="1:11" x14ac:dyDescent="0.2">
      <c r="A359" s="82"/>
      <c r="B359" s="299">
        <f t="shared" si="69"/>
        <v>0</v>
      </c>
      <c r="C359" s="300"/>
      <c r="D359" s="299">
        <f t="shared" si="70"/>
        <v>0</v>
      </c>
      <c r="E359" s="300"/>
      <c r="F359" s="299" t="str">
        <f t="shared" si="71"/>
        <v/>
      </c>
      <c r="G359" s="300"/>
      <c r="H359" s="299" t="str">
        <f t="shared" si="72"/>
        <v/>
      </c>
      <c r="I359" s="300"/>
      <c r="J359" s="299" t="str">
        <f t="shared" si="73"/>
        <v/>
      </c>
      <c r="K359" s="300"/>
    </row>
    <row r="360" spans="1:11" x14ac:dyDescent="0.2">
      <c r="A360" s="82"/>
      <c r="B360" s="299">
        <f t="shared" si="69"/>
        <v>0</v>
      </c>
      <c r="C360" s="300"/>
      <c r="D360" s="299">
        <f t="shared" si="70"/>
        <v>0</v>
      </c>
      <c r="E360" s="300"/>
      <c r="F360" s="299" t="str">
        <f t="shared" si="71"/>
        <v/>
      </c>
      <c r="G360" s="300"/>
      <c r="H360" s="299" t="str">
        <f t="shared" si="72"/>
        <v/>
      </c>
      <c r="I360" s="300"/>
      <c r="J360" s="299" t="str">
        <f t="shared" si="73"/>
        <v/>
      </c>
      <c r="K360" s="300"/>
    </row>
    <row r="361" spans="1:11" x14ac:dyDescent="0.2">
      <c r="A361" s="82"/>
      <c r="B361" s="299">
        <f t="shared" si="69"/>
        <v>0</v>
      </c>
      <c r="C361" s="300"/>
      <c r="D361" s="299">
        <f t="shared" si="70"/>
        <v>0</v>
      </c>
      <c r="E361" s="300"/>
      <c r="F361" s="299" t="str">
        <f t="shared" si="71"/>
        <v/>
      </c>
      <c r="G361" s="300"/>
      <c r="H361" s="299" t="str">
        <f t="shared" si="72"/>
        <v/>
      </c>
      <c r="I361" s="300"/>
      <c r="J361" s="299" t="str">
        <f t="shared" si="73"/>
        <v/>
      </c>
      <c r="K361" s="300"/>
    </row>
    <row r="362" spans="1:11" x14ac:dyDescent="0.2">
      <c r="A362" s="82"/>
      <c r="B362" s="299">
        <f t="shared" si="69"/>
        <v>0</v>
      </c>
      <c r="C362" s="300"/>
      <c r="D362" s="299">
        <f t="shared" si="70"/>
        <v>0</v>
      </c>
      <c r="E362" s="300"/>
      <c r="F362" s="299" t="str">
        <f t="shared" si="71"/>
        <v/>
      </c>
      <c r="G362" s="300"/>
      <c r="H362" s="299" t="str">
        <f t="shared" si="72"/>
        <v/>
      </c>
      <c r="I362" s="300"/>
      <c r="J362" s="299" t="str">
        <f t="shared" si="73"/>
        <v/>
      </c>
      <c r="K362" s="300"/>
    </row>
    <row r="363" spans="1:11" x14ac:dyDescent="0.2">
      <c r="A363" s="82"/>
      <c r="B363" s="299">
        <f t="shared" si="69"/>
        <v>0</v>
      </c>
      <c r="C363" s="300"/>
      <c r="D363" s="299">
        <f t="shared" si="70"/>
        <v>0</v>
      </c>
      <c r="E363" s="300"/>
      <c r="F363" s="299" t="str">
        <f t="shared" si="71"/>
        <v/>
      </c>
      <c r="G363" s="300"/>
      <c r="H363" s="299" t="str">
        <f t="shared" si="72"/>
        <v/>
      </c>
      <c r="I363" s="300"/>
      <c r="J363" s="299" t="str">
        <f t="shared" si="73"/>
        <v/>
      </c>
      <c r="K363" s="300"/>
    </row>
    <row r="364" spans="1:11" x14ac:dyDescent="0.2">
      <c r="A364" s="82"/>
      <c r="B364" s="299">
        <f t="shared" si="69"/>
        <v>0</v>
      </c>
      <c r="C364" s="300"/>
      <c r="D364" s="299">
        <f t="shared" si="70"/>
        <v>0</v>
      </c>
      <c r="E364" s="300"/>
      <c r="F364" s="299" t="str">
        <f t="shared" si="71"/>
        <v/>
      </c>
      <c r="G364" s="300"/>
      <c r="H364" s="299" t="str">
        <f t="shared" si="72"/>
        <v/>
      </c>
      <c r="I364" s="300"/>
      <c r="J364" s="299" t="str">
        <f t="shared" si="73"/>
        <v/>
      </c>
      <c r="K364" s="300"/>
    </row>
    <row r="365" spans="1:11" x14ac:dyDescent="0.2">
      <c r="A365" s="82"/>
      <c r="B365" s="299">
        <f t="shared" si="69"/>
        <v>0</v>
      </c>
      <c r="C365" s="300"/>
      <c r="D365" s="299">
        <f t="shared" si="70"/>
        <v>0</v>
      </c>
      <c r="E365" s="300"/>
      <c r="F365" s="299" t="str">
        <f t="shared" si="71"/>
        <v/>
      </c>
      <c r="G365" s="300"/>
      <c r="H365" s="299" t="str">
        <f t="shared" si="72"/>
        <v/>
      </c>
      <c r="I365" s="300"/>
      <c r="J365" s="299" t="str">
        <f t="shared" si="73"/>
        <v/>
      </c>
      <c r="K365" s="300"/>
    </row>
    <row r="366" spans="1:11" x14ac:dyDescent="0.2">
      <c r="A366" s="82"/>
      <c r="B366" s="299">
        <f t="shared" si="69"/>
        <v>0</v>
      </c>
      <c r="C366" s="300"/>
      <c r="D366" s="299">
        <f t="shared" si="70"/>
        <v>0</v>
      </c>
      <c r="E366" s="300"/>
      <c r="F366" s="299" t="str">
        <f t="shared" si="71"/>
        <v/>
      </c>
      <c r="G366" s="300"/>
      <c r="H366" s="299" t="str">
        <f t="shared" si="72"/>
        <v/>
      </c>
      <c r="I366" s="300"/>
      <c r="J366" s="299" t="str">
        <f t="shared" si="73"/>
        <v/>
      </c>
      <c r="K366" s="300"/>
    </row>
    <row r="367" spans="1:11" x14ac:dyDescent="0.2">
      <c r="A367" s="82"/>
      <c r="B367" s="299">
        <f t="shared" si="69"/>
        <v>0</v>
      </c>
      <c r="C367" s="300"/>
      <c r="D367" s="299">
        <f t="shared" si="70"/>
        <v>0</v>
      </c>
      <c r="E367" s="300"/>
      <c r="F367" s="299" t="str">
        <f t="shared" si="71"/>
        <v/>
      </c>
      <c r="G367" s="300"/>
      <c r="H367" s="299" t="str">
        <f t="shared" si="72"/>
        <v/>
      </c>
      <c r="I367" s="300"/>
      <c r="J367" s="299" t="str">
        <f t="shared" si="73"/>
        <v/>
      </c>
      <c r="K367" s="300"/>
    </row>
    <row r="368" spans="1:11" x14ac:dyDescent="0.2">
      <c r="A368" s="82"/>
      <c r="B368" s="299">
        <f t="shared" si="69"/>
        <v>0</v>
      </c>
      <c r="C368" s="300"/>
      <c r="D368" s="299">
        <f t="shared" si="70"/>
        <v>0</v>
      </c>
      <c r="E368" s="300"/>
      <c r="F368" s="299" t="str">
        <f t="shared" si="71"/>
        <v/>
      </c>
      <c r="G368" s="300"/>
      <c r="H368" s="299" t="str">
        <f t="shared" si="72"/>
        <v/>
      </c>
      <c r="I368" s="300"/>
      <c r="J368" s="299" t="str">
        <f t="shared" si="73"/>
        <v/>
      </c>
      <c r="K368" s="300"/>
    </row>
    <row r="369" spans="1:11" x14ac:dyDescent="0.2">
      <c r="A369" s="82"/>
      <c r="B369" s="299">
        <f t="shared" si="69"/>
        <v>0</v>
      </c>
      <c r="C369" s="300"/>
      <c r="D369" s="299">
        <f t="shared" si="70"/>
        <v>0</v>
      </c>
      <c r="E369" s="300"/>
      <c r="F369" s="299" t="str">
        <f t="shared" si="71"/>
        <v/>
      </c>
      <c r="G369" s="300"/>
      <c r="H369" s="299" t="str">
        <f t="shared" si="72"/>
        <v/>
      </c>
      <c r="I369" s="300"/>
      <c r="J369" s="299" t="str">
        <f t="shared" si="73"/>
        <v/>
      </c>
      <c r="K369" s="300"/>
    </row>
    <row r="370" spans="1:11" x14ac:dyDescent="0.2">
      <c r="A370" s="82"/>
      <c r="B370" s="299">
        <f t="shared" si="69"/>
        <v>0</v>
      </c>
      <c r="C370" s="300"/>
      <c r="D370" s="299">
        <f t="shared" si="70"/>
        <v>0</v>
      </c>
      <c r="E370" s="300"/>
      <c r="F370" s="299" t="str">
        <f t="shared" si="71"/>
        <v/>
      </c>
      <c r="G370" s="300"/>
      <c r="H370" s="299" t="str">
        <f t="shared" si="72"/>
        <v/>
      </c>
      <c r="I370" s="300"/>
      <c r="J370" s="299" t="str">
        <f t="shared" si="73"/>
        <v/>
      </c>
      <c r="K370" s="300"/>
    </row>
    <row r="371" spans="1:11" x14ac:dyDescent="0.2">
      <c r="A371" s="82"/>
      <c r="B371" s="299">
        <f t="shared" si="69"/>
        <v>0</v>
      </c>
      <c r="C371" s="300"/>
      <c r="D371" s="299">
        <f t="shared" si="70"/>
        <v>0</v>
      </c>
      <c r="E371" s="300"/>
      <c r="F371" s="299" t="str">
        <f t="shared" si="71"/>
        <v/>
      </c>
      <c r="G371" s="300"/>
      <c r="H371" s="299" t="str">
        <f t="shared" si="72"/>
        <v/>
      </c>
      <c r="I371" s="300"/>
      <c r="J371" s="299" t="str">
        <f t="shared" si="73"/>
        <v/>
      </c>
      <c r="K371" s="300"/>
    </row>
    <row r="372" spans="1:11" x14ac:dyDescent="0.2">
      <c r="A372" s="82"/>
      <c r="B372" s="299">
        <f t="shared" si="69"/>
        <v>0</v>
      </c>
      <c r="C372" s="300"/>
      <c r="D372" s="299">
        <f t="shared" si="70"/>
        <v>0</v>
      </c>
      <c r="E372" s="300"/>
      <c r="F372" s="299" t="str">
        <f t="shared" si="71"/>
        <v/>
      </c>
      <c r="G372" s="300"/>
      <c r="H372" s="299" t="str">
        <f t="shared" si="72"/>
        <v/>
      </c>
      <c r="I372" s="300"/>
      <c r="J372" s="299" t="str">
        <f t="shared" si="73"/>
        <v/>
      </c>
      <c r="K372" s="300"/>
    </row>
    <row r="373" spans="1:11" x14ac:dyDescent="0.2">
      <c r="A373" s="82"/>
      <c r="B373" s="299">
        <f t="shared" si="69"/>
        <v>0</v>
      </c>
      <c r="C373" s="300"/>
      <c r="D373" s="299">
        <f t="shared" si="70"/>
        <v>0</v>
      </c>
      <c r="E373" s="300"/>
      <c r="F373" s="299" t="str">
        <f t="shared" si="71"/>
        <v/>
      </c>
      <c r="G373" s="300"/>
      <c r="H373" s="299" t="str">
        <f t="shared" si="72"/>
        <v/>
      </c>
      <c r="I373" s="300"/>
      <c r="J373" s="299" t="str">
        <f t="shared" si="73"/>
        <v/>
      </c>
      <c r="K373" s="300"/>
    </row>
    <row r="374" spans="1:11" x14ac:dyDescent="0.2">
      <c r="A374" s="82"/>
      <c r="B374" s="299">
        <f t="shared" si="69"/>
        <v>0</v>
      </c>
      <c r="C374" s="300"/>
      <c r="D374" s="299">
        <f t="shared" si="70"/>
        <v>0</v>
      </c>
      <c r="E374" s="300"/>
      <c r="F374" s="299" t="str">
        <f t="shared" si="71"/>
        <v/>
      </c>
      <c r="G374" s="300"/>
      <c r="H374" s="299" t="str">
        <f t="shared" si="72"/>
        <v/>
      </c>
      <c r="I374" s="300"/>
      <c r="J374" s="299" t="str">
        <f t="shared" si="73"/>
        <v/>
      </c>
      <c r="K374" s="300"/>
    </row>
    <row r="375" spans="1:11" x14ac:dyDescent="0.2">
      <c r="A375" s="82"/>
      <c r="B375" s="299">
        <f t="shared" si="69"/>
        <v>0</v>
      </c>
      <c r="C375" s="300"/>
      <c r="D375" s="299">
        <f t="shared" si="70"/>
        <v>0</v>
      </c>
      <c r="E375" s="300"/>
      <c r="F375" s="299" t="str">
        <f t="shared" si="71"/>
        <v/>
      </c>
      <c r="G375" s="300"/>
      <c r="H375" s="299" t="str">
        <f t="shared" si="72"/>
        <v/>
      </c>
      <c r="I375" s="300"/>
      <c r="J375" s="299" t="str">
        <f t="shared" si="73"/>
        <v/>
      </c>
      <c r="K375" s="300"/>
    </row>
    <row r="376" spans="1:11" x14ac:dyDescent="0.2">
      <c r="A376" s="82"/>
      <c r="B376" s="299">
        <f t="shared" si="69"/>
        <v>0</v>
      </c>
      <c r="C376" s="300"/>
      <c r="D376" s="299">
        <f t="shared" si="70"/>
        <v>0</v>
      </c>
      <c r="E376" s="300"/>
      <c r="F376" s="299" t="str">
        <f t="shared" si="71"/>
        <v/>
      </c>
      <c r="G376" s="300"/>
      <c r="H376" s="299" t="str">
        <f t="shared" si="72"/>
        <v/>
      </c>
      <c r="I376" s="300"/>
      <c r="J376" s="299" t="str">
        <f t="shared" si="73"/>
        <v/>
      </c>
      <c r="K376" s="300"/>
    </row>
    <row r="377" spans="1:11" x14ac:dyDescent="0.2">
      <c r="A377" s="82"/>
      <c r="B377" s="299">
        <f t="shared" si="69"/>
        <v>0</v>
      </c>
      <c r="C377" s="300"/>
      <c r="D377" s="299">
        <f t="shared" si="70"/>
        <v>0</v>
      </c>
      <c r="E377" s="300"/>
      <c r="F377" s="299" t="str">
        <f t="shared" si="71"/>
        <v/>
      </c>
      <c r="G377" s="300"/>
      <c r="H377" s="299" t="str">
        <f t="shared" si="72"/>
        <v/>
      </c>
      <c r="I377" s="300"/>
      <c r="J377" s="299" t="str">
        <f t="shared" si="73"/>
        <v/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>
        <f>IF(B328="","",B328/12*11)</f>
        <v>0</v>
      </c>
      <c r="C380" s="300"/>
      <c r="D380" s="299">
        <f>IF(D328="","",D328/12*11)</f>
        <v>0</v>
      </c>
      <c r="E380" s="300"/>
      <c r="F380" s="299" t="str">
        <f>IF(F328="","",F328/12*11)</f>
        <v/>
      </c>
      <c r="G380" s="300"/>
      <c r="H380" s="299" t="str">
        <f>IF(H328="","",H328/12*11)</f>
        <v/>
      </c>
      <c r="I380" s="300"/>
      <c r="J380" s="299" t="str">
        <f>IF(J328="","",J328/12*11)</f>
        <v/>
      </c>
      <c r="K380" s="300"/>
    </row>
    <row r="381" spans="1:11" x14ac:dyDescent="0.2">
      <c r="A381" s="82"/>
      <c r="B381" s="299">
        <f t="shared" ref="B381:B403" si="74">IF(B329="","",B329/12*11)</f>
        <v>0</v>
      </c>
      <c r="C381" s="300"/>
      <c r="D381" s="299">
        <f t="shared" ref="D381:D403" si="75">IF(D329="","",D329/12*11)</f>
        <v>0</v>
      </c>
      <c r="E381" s="300"/>
      <c r="F381" s="299" t="str">
        <f t="shared" ref="F381:F403" si="76">IF(F329="","",F329/12*11)</f>
        <v/>
      </c>
      <c r="G381" s="300"/>
      <c r="H381" s="299" t="str">
        <f t="shared" ref="H381:H403" si="77">IF(H329="","",H329/12*11)</f>
        <v/>
      </c>
      <c r="I381" s="300"/>
      <c r="J381" s="299" t="str">
        <f t="shared" ref="J381:J403" si="78">IF(J329="","",J329/12*11)</f>
        <v/>
      </c>
      <c r="K381" s="300"/>
    </row>
    <row r="382" spans="1:11" x14ac:dyDescent="0.2">
      <c r="A382" s="82"/>
      <c r="B382" s="299">
        <f t="shared" si="74"/>
        <v>0</v>
      </c>
      <c r="C382" s="300"/>
      <c r="D382" s="299">
        <f t="shared" si="75"/>
        <v>0</v>
      </c>
      <c r="E382" s="300"/>
      <c r="F382" s="299" t="str">
        <f t="shared" si="76"/>
        <v/>
      </c>
      <c r="G382" s="300"/>
      <c r="H382" s="299" t="str">
        <f t="shared" si="77"/>
        <v/>
      </c>
      <c r="I382" s="300"/>
      <c r="J382" s="299" t="str">
        <f t="shared" si="78"/>
        <v/>
      </c>
      <c r="K382" s="300"/>
    </row>
    <row r="383" spans="1:11" x14ac:dyDescent="0.2">
      <c r="A383" s="82"/>
      <c r="B383" s="299">
        <f t="shared" si="74"/>
        <v>0</v>
      </c>
      <c r="C383" s="300"/>
      <c r="D383" s="299">
        <f t="shared" si="75"/>
        <v>0</v>
      </c>
      <c r="E383" s="300"/>
      <c r="F383" s="299" t="str">
        <f t="shared" si="76"/>
        <v/>
      </c>
      <c r="G383" s="300"/>
      <c r="H383" s="299" t="str">
        <f t="shared" si="77"/>
        <v/>
      </c>
      <c r="I383" s="300"/>
      <c r="J383" s="299" t="str">
        <f t="shared" si="78"/>
        <v/>
      </c>
      <c r="K383" s="300"/>
    </row>
    <row r="384" spans="1:11" x14ac:dyDescent="0.2">
      <c r="A384" s="82"/>
      <c r="B384" s="299">
        <f t="shared" si="74"/>
        <v>0</v>
      </c>
      <c r="C384" s="300"/>
      <c r="D384" s="299">
        <f t="shared" si="75"/>
        <v>0</v>
      </c>
      <c r="E384" s="300"/>
      <c r="F384" s="299" t="str">
        <f t="shared" si="76"/>
        <v/>
      </c>
      <c r="G384" s="300"/>
      <c r="H384" s="299" t="str">
        <f t="shared" si="77"/>
        <v/>
      </c>
      <c r="I384" s="300"/>
      <c r="J384" s="299" t="str">
        <f t="shared" si="78"/>
        <v/>
      </c>
      <c r="K384" s="300"/>
    </row>
    <row r="385" spans="1:11" x14ac:dyDescent="0.2">
      <c r="A385" s="82"/>
      <c r="B385" s="299">
        <f t="shared" si="74"/>
        <v>0</v>
      </c>
      <c r="C385" s="300"/>
      <c r="D385" s="299">
        <f t="shared" si="75"/>
        <v>0</v>
      </c>
      <c r="E385" s="300"/>
      <c r="F385" s="299" t="str">
        <f t="shared" si="76"/>
        <v/>
      </c>
      <c r="G385" s="300"/>
      <c r="H385" s="299" t="str">
        <f t="shared" si="77"/>
        <v/>
      </c>
      <c r="I385" s="300"/>
      <c r="J385" s="299" t="str">
        <f t="shared" si="78"/>
        <v/>
      </c>
      <c r="K385" s="300"/>
    </row>
    <row r="386" spans="1:11" x14ac:dyDescent="0.2">
      <c r="A386" s="82"/>
      <c r="B386" s="299">
        <f t="shared" si="74"/>
        <v>0</v>
      </c>
      <c r="C386" s="300"/>
      <c r="D386" s="299">
        <f t="shared" si="75"/>
        <v>0</v>
      </c>
      <c r="E386" s="300"/>
      <c r="F386" s="299" t="str">
        <f t="shared" si="76"/>
        <v/>
      </c>
      <c r="G386" s="300"/>
      <c r="H386" s="299" t="str">
        <f t="shared" si="77"/>
        <v/>
      </c>
      <c r="I386" s="300"/>
      <c r="J386" s="299" t="str">
        <f t="shared" si="78"/>
        <v/>
      </c>
      <c r="K386" s="300"/>
    </row>
    <row r="387" spans="1:11" x14ac:dyDescent="0.2">
      <c r="A387" s="82"/>
      <c r="B387" s="299">
        <f t="shared" si="74"/>
        <v>0</v>
      </c>
      <c r="C387" s="300"/>
      <c r="D387" s="299">
        <f t="shared" si="75"/>
        <v>0</v>
      </c>
      <c r="E387" s="300"/>
      <c r="F387" s="299" t="str">
        <f t="shared" si="76"/>
        <v/>
      </c>
      <c r="G387" s="300"/>
      <c r="H387" s="299" t="str">
        <f t="shared" si="77"/>
        <v/>
      </c>
      <c r="I387" s="300"/>
      <c r="J387" s="299" t="str">
        <f t="shared" si="78"/>
        <v/>
      </c>
      <c r="K387" s="300"/>
    </row>
    <row r="388" spans="1:11" x14ac:dyDescent="0.2">
      <c r="A388" s="82"/>
      <c r="B388" s="299">
        <f t="shared" si="74"/>
        <v>0</v>
      </c>
      <c r="C388" s="300"/>
      <c r="D388" s="299">
        <f t="shared" si="75"/>
        <v>0</v>
      </c>
      <c r="E388" s="300"/>
      <c r="F388" s="299" t="str">
        <f t="shared" si="76"/>
        <v/>
      </c>
      <c r="G388" s="300"/>
      <c r="H388" s="299" t="str">
        <f t="shared" si="77"/>
        <v/>
      </c>
      <c r="I388" s="300"/>
      <c r="J388" s="299" t="str">
        <f t="shared" si="78"/>
        <v/>
      </c>
      <c r="K388" s="300"/>
    </row>
    <row r="389" spans="1:11" x14ac:dyDescent="0.2">
      <c r="A389" s="82"/>
      <c r="B389" s="299">
        <f t="shared" si="74"/>
        <v>0</v>
      </c>
      <c r="C389" s="300"/>
      <c r="D389" s="299">
        <f t="shared" si="75"/>
        <v>0</v>
      </c>
      <c r="E389" s="300"/>
      <c r="F389" s="299" t="str">
        <f t="shared" si="76"/>
        <v/>
      </c>
      <c r="G389" s="300"/>
      <c r="H389" s="299" t="str">
        <f t="shared" si="77"/>
        <v/>
      </c>
      <c r="I389" s="300"/>
      <c r="J389" s="299" t="str">
        <f t="shared" si="78"/>
        <v/>
      </c>
      <c r="K389" s="300"/>
    </row>
    <row r="390" spans="1:11" x14ac:dyDescent="0.2">
      <c r="A390" s="82"/>
      <c r="B390" s="299">
        <f t="shared" si="74"/>
        <v>0</v>
      </c>
      <c r="C390" s="300"/>
      <c r="D390" s="299">
        <f t="shared" si="75"/>
        <v>0</v>
      </c>
      <c r="E390" s="300"/>
      <c r="F390" s="299" t="str">
        <f t="shared" si="76"/>
        <v/>
      </c>
      <c r="G390" s="300"/>
      <c r="H390" s="299" t="str">
        <f t="shared" si="77"/>
        <v/>
      </c>
      <c r="I390" s="300"/>
      <c r="J390" s="299" t="str">
        <f t="shared" si="78"/>
        <v/>
      </c>
      <c r="K390" s="300"/>
    </row>
    <row r="391" spans="1:11" x14ac:dyDescent="0.2">
      <c r="A391" s="82"/>
      <c r="B391" s="299">
        <f t="shared" si="74"/>
        <v>0</v>
      </c>
      <c r="C391" s="300"/>
      <c r="D391" s="299">
        <f t="shared" si="75"/>
        <v>0</v>
      </c>
      <c r="E391" s="300"/>
      <c r="F391" s="299" t="str">
        <f t="shared" si="76"/>
        <v/>
      </c>
      <c r="G391" s="300"/>
      <c r="H391" s="299" t="str">
        <f t="shared" si="77"/>
        <v/>
      </c>
      <c r="I391" s="300"/>
      <c r="J391" s="299" t="str">
        <f t="shared" si="78"/>
        <v/>
      </c>
      <c r="K391" s="300"/>
    </row>
    <row r="392" spans="1:11" x14ac:dyDescent="0.2">
      <c r="A392" s="82"/>
      <c r="B392" s="299">
        <f t="shared" si="74"/>
        <v>0</v>
      </c>
      <c r="C392" s="300"/>
      <c r="D392" s="299">
        <f t="shared" si="75"/>
        <v>0</v>
      </c>
      <c r="E392" s="300"/>
      <c r="F392" s="299" t="str">
        <f t="shared" si="76"/>
        <v/>
      </c>
      <c r="G392" s="300"/>
      <c r="H392" s="299" t="str">
        <f t="shared" si="77"/>
        <v/>
      </c>
      <c r="I392" s="300"/>
      <c r="J392" s="299" t="str">
        <f t="shared" si="78"/>
        <v/>
      </c>
      <c r="K392" s="300"/>
    </row>
    <row r="393" spans="1:11" x14ac:dyDescent="0.2">
      <c r="A393" s="82"/>
      <c r="B393" s="299">
        <f t="shared" si="74"/>
        <v>0</v>
      </c>
      <c r="C393" s="300"/>
      <c r="D393" s="299">
        <f t="shared" si="75"/>
        <v>0</v>
      </c>
      <c r="E393" s="300"/>
      <c r="F393" s="299" t="str">
        <f t="shared" si="76"/>
        <v/>
      </c>
      <c r="G393" s="300"/>
      <c r="H393" s="299" t="str">
        <f t="shared" si="77"/>
        <v/>
      </c>
      <c r="I393" s="300"/>
      <c r="J393" s="299" t="str">
        <f t="shared" si="78"/>
        <v/>
      </c>
      <c r="K393" s="300"/>
    </row>
    <row r="394" spans="1:11" x14ac:dyDescent="0.2">
      <c r="A394" s="82"/>
      <c r="B394" s="299">
        <f t="shared" si="74"/>
        <v>0</v>
      </c>
      <c r="C394" s="300"/>
      <c r="D394" s="299">
        <f t="shared" si="75"/>
        <v>0</v>
      </c>
      <c r="E394" s="300"/>
      <c r="F394" s="299" t="str">
        <f t="shared" si="76"/>
        <v/>
      </c>
      <c r="G394" s="300"/>
      <c r="H394" s="299" t="str">
        <f t="shared" si="77"/>
        <v/>
      </c>
      <c r="I394" s="300"/>
      <c r="J394" s="299" t="str">
        <f t="shared" si="78"/>
        <v/>
      </c>
      <c r="K394" s="300"/>
    </row>
    <row r="395" spans="1:11" x14ac:dyDescent="0.2">
      <c r="A395" s="82"/>
      <c r="B395" s="299">
        <f t="shared" si="74"/>
        <v>0</v>
      </c>
      <c r="C395" s="300"/>
      <c r="D395" s="299">
        <f t="shared" si="75"/>
        <v>0</v>
      </c>
      <c r="E395" s="300"/>
      <c r="F395" s="299" t="str">
        <f t="shared" si="76"/>
        <v/>
      </c>
      <c r="G395" s="300"/>
      <c r="H395" s="299" t="str">
        <f t="shared" si="77"/>
        <v/>
      </c>
      <c r="I395" s="300"/>
      <c r="J395" s="299" t="str">
        <f t="shared" si="78"/>
        <v/>
      </c>
      <c r="K395" s="300"/>
    </row>
    <row r="396" spans="1:11" x14ac:dyDescent="0.2">
      <c r="A396" s="82"/>
      <c r="B396" s="299">
        <f t="shared" si="74"/>
        <v>0</v>
      </c>
      <c r="C396" s="300"/>
      <c r="D396" s="299">
        <f t="shared" si="75"/>
        <v>0</v>
      </c>
      <c r="E396" s="300"/>
      <c r="F396" s="299" t="str">
        <f t="shared" si="76"/>
        <v/>
      </c>
      <c r="G396" s="300"/>
      <c r="H396" s="299" t="str">
        <f t="shared" si="77"/>
        <v/>
      </c>
      <c r="I396" s="300"/>
      <c r="J396" s="299" t="str">
        <f t="shared" si="78"/>
        <v/>
      </c>
      <c r="K396" s="300"/>
    </row>
    <row r="397" spans="1:11" x14ac:dyDescent="0.2">
      <c r="A397" s="82"/>
      <c r="B397" s="299">
        <f t="shared" si="74"/>
        <v>0</v>
      </c>
      <c r="C397" s="300"/>
      <c r="D397" s="299">
        <f t="shared" si="75"/>
        <v>0</v>
      </c>
      <c r="E397" s="300"/>
      <c r="F397" s="299" t="str">
        <f t="shared" si="76"/>
        <v/>
      </c>
      <c r="G397" s="300"/>
      <c r="H397" s="299" t="str">
        <f t="shared" si="77"/>
        <v/>
      </c>
      <c r="I397" s="300"/>
      <c r="J397" s="299" t="str">
        <f t="shared" si="78"/>
        <v/>
      </c>
      <c r="K397" s="300"/>
    </row>
    <row r="398" spans="1:11" x14ac:dyDescent="0.2">
      <c r="A398" s="82"/>
      <c r="B398" s="299">
        <f t="shared" si="74"/>
        <v>0</v>
      </c>
      <c r="C398" s="300"/>
      <c r="D398" s="299">
        <f t="shared" si="75"/>
        <v>0</v>
      </c>
      <c r="E398" s="300"/>
      <c r="F398" s="299" t="str">
        <f t="shared" si="76"/>
        <v/>
      </c>
      <c r="G398" s="300"/>
      <c r="H398" s="299" t="str">
        <f t="shared" si="77"/>
        <v/>
      </c>
      <c r="I398" s="300"/>
      <c r="J398" s="299" t="str">
        <f t="shared" si="78"/>
        <v/>
      </c>
      <c r="K398" s="300"/>
    </row>
    <row r="399" spans="1:11" x14ac:dyDescent="0.2">
      <c r="A399" s="82"/>
      <c r="B399" s="299">
        <f t="shared" si="74"/>
        <v>0</v>
      </c>
      <c r="C399" s="300"/>
      <c r="D399" s="299">
        <f t="shared" si="75"/>
        <v>0</v>
      </c>
      <c r="E399" s="300"/>
      <c r="F399" s="299" t="str">
        <f t="shared" si="76"/>
        <v/>
      </c>
      <c r="G399" s="300"/>
      <c r="H399" s="299" t="str">
        <f t="shared" si="77"/>
        <v/>
      </c>
      <c r="I399" s="300"/>
      <c r="J399" s="299" t="str">
        <f t="shared" si="78"/>
        <v/>
      </c>
      <c r="K399" s="300"/>
    </row>
    <row r="400" spans="1:11" x14ac:dyDescent="0.2">
      <c r="A400" s="82"/>
      <c r="B400" s="299">
        <f t="shared" si="74"/>
        <v>0</v>
      </c>
      <c r="C400" s="300"/>
      <c r="D400" s="299">
        <f t="shared" si="75"/>
        <v>0</v>
      </c>
      <c r="E400" s="300"/>
      <c r="F400" s="299" t="str">
        <f t="shared" si="76"/>
        <v/>
      </c>
      <c r="G400" s="300"/>
      <c r="H400" s="299" t="str">
        <f t="shared" si="77"/>
        <v/>
      </c>
      <c r="I400" s="300"/>
      <c r="J400" s="299" t="str">
        <f t="shared" si="78"/>
        <v/>
      </c>
      <c r="K400" s="300"/>
    </row>
    <row r="401" spans="1:11" x14ac:dyDescent="0.2">
      <c r="A401" s="82"/>
      <c r="B401" s="299">
        <f t="shared" si="74"/>
        <v>0</v>
      </c>
      <c r="C401" s="300"/>
      <c r="D401" s="299">
        <f t="shared" si="75"/>
        <v>0</v>
      </c>
      <c r="E401" s="300"/>
      <c r="F401" s="299" t="str">
        <f t="shared" si="76"/>
        <v/>
      </c>
      <c r="G401" s="300"/>
      <c r="H401" s="299" t="str">
        <f t="shared" si="77"/>
        <v/>
      </c>
      <c r="I401" s="300"/>
      <c r="J401" s="299" t="str">
        <f t="shared" si="78"/>
        <v/>
      </c>
      <c r="K401" s="300"/>
    </row>
    <row r="402" spans="1:11" x14ac:dyDescent="0.2">
      <c r="A402" s="82"/>
      <c r="B402" s="299">
        <f t="shared" si="74"/>
        <v>0</v>
      </c>
      <c r="C402" s="300"/>
      <c r="D402" s="299">
        <f t="shared" si="75"/>
        <v>0</v>
      </c>
      <c r="E402" s="300"/>
      <c r="F402" s="299" t="str">
        <f t="shared" si="76"/>
        <v/>
      </c>
      <c r="G402" s="300"/>
      <c r="H402" s="299" t="str">
        <f t="shared" si="77"/>
        <v/>
      </c>
      <c r="I402" s="300"/>
      <c r="J402" s="299" t="str">
        <f t="shared" si="78"/>
        <v/>
      </c>
      <c r="K402" s="300"/>
    </row>
    <row r="403" spans="1:11" x14ac:dyDescent="0.2">
      <c r="A403" s="82"/>
      <c r="B403" s="299">
        <f t="shared" si="74"/>
        <v>0</v>
      </c>
      <c r="C403" s="300"/>
      <c r="D403" s="299">
        <f t="shared" si="75"/>
        <v>0</v>
      </c>
      <c r="E403" s="300"/>
      <c r="F403" s="299" t="str">
        <f t="shared" si="76"/>
        <v/>
      </c>
      <c r="G403" s="300"/>
      <c r="H403" s="299" t="str">
        <f t="shared" si="77"/>
        <v/>
      </c>
      <c r="I403" s="300"/>
      <c r="J403" s="299" t="str">
        <f t="shared" si="78"/>
        <v/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84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5198D99-8ECE-4E26-BF97-A109F2243D89}">
            <xm:f>'Subcontract 1'!#REF!&lt;&gt;$A$91</xm:f>
            <x14:dxf/>
          </x14:cfRule>
          <xm:sqref>M181:O181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Normal="100" workbookViewId="0">
      <selection activeCell="A15" sqref="A15:XFD26"/>
    </sheetView>
  </sheetViews>
  <sheetFormatPr defaultColWidth="8.85546875" defaultRowHeight="15" x14ac:dyDescent="0.25"/>
  <cols>
    <col min="1" max="1" width="3" style="127" bestFit="1" customWidth="1"/>
    <col min="2" max="2" width="18.28515625" style="127" customWidth="1"/>
    <col min="3" max="4" width="8.85546875" style="127"/>
    <col min="5" max="5" width="15.42578125" style="127" customWidth="1"/>
    <col min="6" max="6" width="1.140625" style="127" customWidth="1"/>
    <col min="7" max="7" width="8.85546875" style="127" customWidth="1"/>
    <col min="8" max="12" width="8.85546875" style="127"/>
    <col min="13" max="13" width="1.140625" style="127" customWidth="1"/>
    <col min="14" max="18" width="8.85546875" style="127"/>
    <col min="19" max="19" width="8.85546875" style="130"/>
    <col min="20" max="20" width="1.28515625" style="127" customWidth="1"/>
    <col min="21" max="21" width="17.140625" style="127" customWidth="1"/>
    <col min="22" max="22" width="18.28515625" style="127" customWidth="1"/>
    <col min="23" max="23" width="19.28515625" style="127" customWidth="1"/>
    <col min="24" max="24" width="17.28515625" style="127" customWidth="1"/>
    <col min="25" max="25" width="16.7109375" style="127" customWidth="1"/>
    <col min="26" max="16384" width="8.85546875" style="127"/>
  </cols>
  <sheetData>
    <row r="1" spans="1:25" ht="27" customHeight="1" x14ac:dyDescent="0.25">
      <c r="A1" s="360" t="str">
        <f>'F10'!A1</f>
        <v xml:space="preserve">Component: </v>
      </c>
      <c r="B1" s="361"/>
      <c r="C1" s="361"/>
      <c r="D1" s="361"/>
      <c r="E1" s="362"/>
      <c r="G1" s="456" t="s">
        <v>214</v>
      </c>
      <c r="H1" s="457"/>
      <c r="I1" s="457"/>
      <c r="J1" s="457"/>
      <c r="K1" s="457"/>
      <c r="L1" s="458"/>
      <c r="M1" s="255"/>
      <c r="N1" s="459" t="s">
        <v>174</v>
      </c>
      <c r="O1" s="460"/>
      <c r="P1" s="460"/>
      <c r="Q1" s="460"/>
      <c r="R1" s="460"/>
      <c r="S1" s="461"/>
      <c r="T1" s="255"/>
      <c r="U1" s="462" t="s">
        <v>175</v>
      </c>
      <c r="V1" s="463"/>
      <c r="W1" s="463"/>
      <c r="X1" s="463"/>
      <c r="Y1" s="464"/>
    </row>
    <row r="2" spans="1:25" ht="50.45" customHeight="1" x14ac:dyDescent="0.25">
      <c r="A2" s="465" t="str">
        <f>'R10'!B6</f>
        <v>Name/Role:</v>
      </c>
      <c r="B2" s="466"/>
      <c r="C2" s="467" t="s">
        <v>198</v>
      </c>
      <c r="D2" s="467"/>
      <c r="E2" s="468"/>
      <c r="F2" s="255"/>
      <c r="G2" s="134" t="s">
        <v>134</v>
      </c>
      <c r="H2" s="134" t="s">
        <v>135</v>
      </c>
      <c r="I2" s="134" t="s">
        <v>136</v>
      </c>
      <c r="J2" s="134" t="s">
        <v>139</v>
      </c>
      <c r="K2" s="135" t="s">
        <v>137</v>
      </c>
      <c r="L2" s="222" t="s">
        <v>219</v>
      </c>
      <c r="M2" s="255"/>
      <c r="N2" s="132" t="s">
        <v>134</v>
      </c>
      <c r="O2" s="132" t="s">
        <v>135</v>
      </c>
      <c r="P2" s="132" t="s">
        <v>136</v>
      </c>
      <c r="Q2" s="132" t="s">
        <v>139</v>
      </c>
      <c r="R2" s="132" t="s">
        <v>137</v>
      </c>
      <c r="S2" s="132" t="s">
        <v>14</v>
      </c>
      <c r="T2" s="255"/>
      <c r="U2" s="133" t="s">
        <v>134</v>
      </c>
      <c r="V2" s="133" t="s">
        <v>135</v>
      </c>
      <c r="W2" s="133" t="s">
        <v>136</v>
      </c>
      <c r="X2" s="133" t="s">
        <v>139</v>
      </c>
      <c r="Y2" s="133" t="s">
        <v>137</v>
      </c>
    </row>
    <row r="3" spans="1:25" x14ac:dyDescent="0.25">
      <c r="A3" s="129">
        <f>'R10'!A8</f>
        <v>1</v>
      </c>
      <c r="B3" s="124">
        <f>'R10'!B8</f>
        <v>0</v>
      </c>
      <c r="C3" s="124"/>
      <c r="D3" s="125"/>
      <c r="E3" s="244" t="s">
        <v>217</v>
      </c>
      <c r="F3" s="255"/>
      <c r="G3" s="100">
        <f ca="1">IF(AND($L3="Yes",'R10'!$L8=9),'W10'!B354,IF(AND($L3="Yes",'R10'!$L8=11),'W10'!B380,IF(OR($L3="No",'R10'!$L8=12),'W10'!B328)))</f>
        <v>0</v>
      </c>
      <c r="H3" s="100">
        <f ca="1">IF(AND($L3="Yes",'R10'!$L8=9),'W10'!D354,IF(AND($L3="Yes",'R10'!$L8=11),'W10'!D380,IF(OR($L3="No",'R10'!L8=12),'W10'!D328)))</f>
        <v>0</v>
      </c>
      <c r="I3" s="100">
        <f ca="1">IF(AND($L3="Yes",'R10'!$L8=9),'W10'!F354,IF(AND($L3="Yes",'R10'!$L8=11),'W10'!F380,IF(OR($L3="No",'R10'!L8=12),'W10'!F328)))</f>
        <v>0</v>
      </c>
      <c r="J3" s="100">
        <f ca="1">IF(AND($L3="Yes",'R10'!$L8=9),'W10'!H354,IF(AND($L3="Yes",'R10'!$L8=11),'W10'!H380,IF(OR($L3="No",'R10'!L8=12),'W10'!H328)))</f>
        <v>0</v>
      </c>
      <c r="K3" s="100">
        <f ca="1">IF(AND($L3="Yes",'R10'!$L8=9),'W10'!J354,IF(AND($L3="Yes",'R10'!$L8=11),'W10'!J380,IF(OR($L3="No",'R10'!L8=12),'W10'!J328)))</f>
        <v>0</v>
      </c>
      <c r="L3" s="245" t="s">
        <v>150</v>
      </c>
      <c r="M3" s="255"/>
      <c r="N3" s="128">
        <f ca="1">IF(G3=0,0,IF(G3="",0,'R10'!N8/(G3/'R10'!$L8)))</f>
        <v>0</v>
      </c>
      <c r="O3" s="128">
        <f ca="1">IF(H3=0,0,IF(H3="",0,'R10'!O8/(H3/'R10'!$L8)))</f>
        <v>0</v>
      </c>
      <c r="P3" s="128">
        <f ca="1">IF(I3=0,0,IF(I3="",0,'R10'!P8/(I3/'R10'!$L8)))</f>
        <v>0</v>
      </c>
      <c r="Q3" s="128">
        <f ca="1">IF(J3=0,0,IF(J3="",0,'R10'!Q8/(J3/'R10'!$L8)))</f>
        <v>0</v>
      </c>
      <c r="R3" s="128">
        <f ca="1">IF(K3=0,0,IF(K3="",0,'R10'!R8/(K3/'R10'!$L8)))</f>
        <v>0</v>
      </c>
      <c r="S3" s="51" t="str">
        <f>IF('R10'!K8="","CAL",'R10'!K8)</f>
        <v>CAL</v>
      </c>
      <c r="T3" s="255"/>
      <c r="U3" s="51" t="str">
        <f ca="1">IF(G3="","",IF('W10'!$L218="D","n/a",IF('W10'!B$247='W10'!C$247,"("&amp;ROUND('W10'!B248+'W10'!C248,2)&amp;")"&amp;ROUND('W10'!B$247*100,2),"("&amp;ROUND('W10'!B248,2)&amp;")"&amp;ROUND('W10'!B$247*100,2)&amp;"/ ("&amp;ROUND('W10'!C248,2)&amp;")"&amp;ROUND('W10'!C$247*100,2))))</f>
        <v>n/a</v>
      </c>
      <c r="V3" s="51" t="str">
        <f ca="1">IF(H3="","",IF('W10'!$L218="D","n/a",IF('W10'!D$247='W10'!E$247,"("&amp;ROUND('W10'!D248+'W10'!E248,2)&amp;")"&amp;ROUND('W10'!D$247*100,2),"("&amp;ROUND('W10'!D248,2)&amp;")"&amp;ROUND('W10'!D$247*100,2)&amp;"/ ("&amp;ROUND('W10'!E248,2)&amp;")"&amp;ROUND('W10'!E$247*100,2))))</f>
        <v>n/a</v>
      </c>
      <c r="W3" s="51" t="str">
        <f ca="1">IF(I3="","",IF('W10'!$L218="D","n/a",IF('W10'!F$247='W10'!G$247,"("&amp;ROUND('W10'!F248+'W10'!G248,2)&amp;")"&amp;ROUND('W10'!F$247*100,2),"("&amp;ROUND('W10'!F248,2)&amp;")"&amp;ROUND('W10'!F$247*100,2)&amp;"/ ("&amp;ROUND('W10'!G248,2)&amp;")"&amp;ROUND('W10'!G$247*100,2))))</f>
        <v>n/a</v>
      </c>
      <c r="X3" s="51" t="str">
        <f ca="1">IF(J3="","",IF('W10'!$L218="D","n/a",IF('W10'!H$247='W10'!I$247,"("&amp;ROUND('W10'!H248+'W10'!I248,2)&amp;")"&amp;ROUND('W10'!H$247*100,2),"("&amp;ROUND('W10'!H248,2)&amp;")"&amp;ROUND('W10'!H$247*100,2)&amp;"/ ("&amp;ROUND('W10'!I248,2)&amp;")"&amp;ROUND('W10'!I$247*100,2))))</f>
        <v>n/a</v>
      </c>
      <c r="Y3" s="51" t="str">
        <f ca="1">IF(K3="","",IF('W10'!$L218="D","n/a",IF('W10'!J$247='W10'!K$247,"("&amp;ROUND('W10'!J248+'W10'!K248,2)&amp;")"&amp;ROUND('W10'!J$247*100,2),"("&amp;ROUND('W10'!J248,2)&amp;")"&amp;ROUND('W10'!J$247*100,2)&amp;"/ ("&amp;ROUND('W10'!K248,2)&amp;")"&amp;ROUND('W10'!K$247*100,2))))</f>
        <v>n/a</v>
      </c>
    </row>
    <row r="4" spans="1:25" x14ac:dyDescent="0.25">
      <c r="A4" s="129">
        <f>'R10'!A9</f>
        <v>2</v>
      </c>
      <c r="B4" s="124">
        <f>'R10'!B9</f>
        <v>0</v>
      </c>
      <c r="C4" s="124"/>
      <c r="D4" s="263"/>
      <c r="E4" s="244" t="s">
        <v>217</v>
      </c>
      <c r="F4" s="255"/>
      <c r="G4" s="100">
        <f ca="1">IF(AND($L4="Yes",'R10'!$L9=9),'W10'!B355,IF(AND($L4="Yes",'R10'!$L9=11),'W10'!B381,IF(OR($L4="No",'R10'!L9=12),'W10'!B329)))</f>
        <v>0</v>
      </c>
      <c r="H4" s="100">
        <f ca="1">IF(AND($L4="Yes",'R10'!$L9=9),'W10'!D355,IF(AND($L4="Yes",'R10'!$L9=11),'W10'!D381,IF(OR($L4="No",'R10'!L9=12),'W10'!D329)))</f>
        <v>0</v>
      </c>
      <c r="I4" s="100">
        <f ca="1">IF(AND($L4="Yes",'R10'!$L9=9),'W10'!F355,IF(AND($L4="Yes",'R10'!$L9=11),'W10'!F381,IF(OR($L4="No",'R10'!L9=12),'W10'!F329)))</f>
        <v>0</v>
      </c>
      <c r="J4" s="100">
        <f ca="1">IF(AND($L4="Yes",'R10'!$L9=9),'W10'!H355,IF(AND($L4="Yes",'R10'!$L9=11),'W10'!H381,IF(OR($L4="No",'R10'!L9=12),'W10'!H329)))</f>
        <v>0</v>
      </c>
      <c r="K4" s="100">
        <f ca="1">IF(AND($L4="Yes",'R10'!$L9=9),'W10'!J355,IF(AND($L4="Yes",'R10'!$L9=11),'W10'!J381,IF(OR($L4="No",'R10'!L9=12),'W10'!J329)))</f>
        <v>0</v>
      </c>
      <c r="L4" s="245" t="s">
        <v>150</v>
      </c>
      <c r="M4" s="255"/>
      <c r="N4" s="128">
        <f ca="1">IF(G4=0,0,IF(G4="",0,'R10'!N9/(G4/'R10'!$L9)))</f>
        <v>0</v>
      </c>
      <c r="O4" s="128">
        <f ca="1">IF(H4=0,0,IF(H4="",0,'R10'!O9/(H4/'R10'!$L9)))</f>
        <v>0</v>
      </c>
      <c r="P4" s="128">
        <f ca="1">IF(I4=0,0,IF(I4="",0,'R10'!P9/(I4/'R10'!$L9)))</f>
        <v>0</v>
      </c>
      <c r="Q4" s="128">
        <f ca="1">IF(J4=0,0,IF(J4="",0,'R10'!Q9/(J4/'R10'!$L9)))</f>
        <v>0</v>
      </c>
      <c r="R4" s="128">
        <f ca="1">IF(K4=0,0,IF(K4="",0,'R10'!R9/(K4/'R10'!$L9)))</f>
        <v>0</v>
      </c>
      <c r="S4" s="51" t="str">
        <f>IF('R10'!K9="","CAL",'R10'!K9)</f>
        <v>CAL</v>
      </c>
      <c r="T4" s="255"/>
      <c r="U4" s="51" t="str">
        <f ca="1">IF(G4="","",IF('W10'!$L219="D","n/a",IF('W10'!B$247='W10'!C$247,"("&amp;ROUND('W10'!B249+'W10'!C249,2)&amp;")"&amp;ROUND('W10'!B$247*100,2),"("&amp;ROUND('W10'!B249,2)&amp;")"&amp;ROUND('W10'!B$247*100,2)&amp;"/ ("&amp;ROUND('W10'!C249,2)&amp;")"&amp;ROUND('W10'!C$247*100,2))))</f>
        <v>n/a</v>
      </c>
      <c r="V4" s="51" t="str">
        <f ca="1">IF(H4="","",IF('W10'!$L219="D","n/a",IF('W10'!D$247='W10'!E$247,"("&amp;ROUND('W10'!D249+'W10'!E249,2)&amp;")"&amp;ROUND('W10'!D$247*100,2),"("&amp;ROUND('W10'!D249,2)&amp;")"&amp;ROUND('W10'!D$247*100,2)&amp;"/ ("&amp;ROUND('W10'!E249,2)&amp;")"&amp;ROUND('W10'!E$247*100,2))))</f>
        <v>n/a</v>
      </c>
      <c r="W4" s="51" t="str">
        <f ca="1">IF(I4="","",IF('W10'!$L219="D","n/a",IF('W10'!F$247='W10'!G$247,"("&amp;ROUND('W10'!F249+'W10'!G249,2)&amp;")"&amp;ROUND('W10'!F$247*100,2),"("&amp;ROUND('W10'!F249,2)&amp;")"&amp;ROUND('W10'!F$247*100,2)&amp;"/ ("&amp;ROUND('W10'!G249,2)&amp;")"&amp;ROUND('W10'!G$247*100,2))))</f>
        <v>n/a</v>
      </c>
      <c r="X4" s="51" t="str">
        <f ca="1">IF(J4="","",IF('W10'!$L219="D","n/a",IF('W10'!H$247='W10'!I$247,"("&amp;ROUND('W10'!H249+'W10'!I249,2)&amp;")"&amp;ROUND('W10'!H$247*100,2),"("&amp;ROUND('W10'!H249,2)&amp;")"&amp;ROUND('W10'!H$247*100,2)&amp;"/ ("&amp;ROUND('W10'!I249,2)&amp;")"&amp;ROUND('W10'!I$247*100,2))))</f>
        <v>n/a</v>
      </c>
      <c r="Y4" s="51" t="str">
        <f ca="1">IF(K4="","",IF('W10'!$L219="D","n/a",IF('W10'!J$247='W10'!K$247,"("&amp;ROUND('W10'!J249+'W10'!K249,2)&amp;")"&amp;ROUND('W10'!J$247*100,2),"("&amp;ROUND('W10'!J249,2)&amp;")"&amp;ROUND('W10'!J$247*100,2)&amp;"/ ("&amp;ROUND('W10'!K249,2)&amp;")"&amp;ROUND('W10'!K$247*100,2))))</f>
        <v>n/a</v>
      </c>
    </row>
    <row r="5" spans="1:25" x14ac:dyDescent="0.25">
      <c r="A5" s="129">
        <f>'R10'!A10</f>
        <v>3</v>
      </c>
      <c r="B5" s="124">
        <f>'R10'!B10</f>
        <v>0</v>
      </c>
      <c r="C5" s="124"/>
      <c r="D5" s="125"/>
      <c r="E5" s="244" t="s">
        <v>217</v>
      </c>
      <c r="F5" s="255"/>
      <c r="G5" s="100">
        <f ca="1">IF(AND($L5="Yes",'R10'!$L10=9),'W10'!B356,IF(AND($L5="Yes",'R10'!$L10=11),'W10'!B382,IF(OR($L5="No",'R10'!L10=12),'W10'!B330)))</f>
        <v>0</v>
      </c>
      <c r="H5" s="100">
        <f ca="1">IF(AND($L5="Yes",'R10'!$L10=9),'W10'!D356,IF(AND($L5="Yes",'R10'!$L10=11),'W10'!D382,IF(OR($L5="No",'R10'!L10=12),'W10'!D330)))</f>
        <v>0</v>
      </c>
      <c r="I5" s="100">
        <f ca="1">IF(AND($L5="Yes",'R10'!$L10=9),'W10'!F356,IF(AND($L5="Yes",'R10'!$L10=11),'W10'!F382,IF(OR($L5="No",'R10'!L10=12),'W10'!F330)))</f>
        <v>0</v>
      </c>
      <c r="J5" s="100">
        <f ca="1">IF(AND($L5="Yes",'R10'!$L10=9),'W10'!H356,IF(AND($L5="Yes",'R10'!$L10=11),'W10'!H382,IF(OR($L5="No",'R10'!L10=12),'W10'!H330)))</f>
        <v>0</v>
      </c>
      <c r="K5" s="100">
        <f ca="1">IF(AND($L5="Yes",'R10'!$L10=9),'W10'!J356,IF(AND($L5="Yes",'R10'!$L10=11),'W10'!J382,IF(OR($L5="No",'R10'!L10=12),'W10'!J330)))</f>
        <v>0</v>
      </c>
      <c r="L5" s="245" t="s">
        <v>150</v>
      </c>
      <c r="M5" s="255"/>
      <c r="N5" s="128">
        <f ca="1">IF(G5=0,0,IF(G5="",0,'R10'!N10/(G5/'R10'!$L10)))</f>
        <v>0</v>
      </c>
      <c r="O5" s="128">
        <f ca="1">IF(H5=0,0,IF(H5="",0,'R10'!O10/(H5/'R10'!$L10)))</f>
        <v>0</v>
      </c>
      <c r="P5" s="128">
        <f ca="1">IF(I5=0,0,IF(I5="",0,'R10'!P10/(I5/'R10'!$L10)))</f>
        <v>0</v>
      </c>
      <c r="Q5" s="128">
        <f ca="1">IF(J5=0,0,IF(J5="",0,'R10'!Q10/(J5/'R10'!$L10)))</f>
        <v>0</v>
      </c>
      <c r="R5" s="128">
        <f ca="1">IF(K5=0,0,IF(K5="",0,'R10'!R10/(K5/'R10'!$L10)))</f>
        <v>0</v>
      </c>
      <c r="S5" s="51" t="str">
        <f>IF('R10'!K10="","CAL",'R10'!K10)</f>
        <v>CAL</v>
      </c>
      <c r="T5" s="255"/>
      <c r="U5" s="51" t="str">
        <f ca="1">IF(G5="","",IF('W10'!$L220="D","n/a",IF('W10'!B$247='W10'!C$247,"("&amp;ROUND('W10'!B250+'W10'!C250,2)&amp;")"&amp;ROUND('W10'!B$247*100,2),"("&amp;ROUND('W10'!B250,2)&amp;")"&amp;ROUND('W10'!B$247*100,2)&amp;"/ ("&amp;ROUND('W10'!C250,2)&amp;")"&amp;ROUND('W10'!C$247*100,2))))</f>
        <v>n/a</v>
      </c>
      <c r="V5" s="51" t="str">
        <f ca="1">IF(H5="","",IF('W10'!$L220="D","n/a",IF('W10'!D$247='W10'!E$247,"("&amp;ROUND('W10'!D250+'W10'!E250,2)&amp;")"&amp;ROUND('W10'!D$247*100,2),"("&amp;ROUND('W10'!D250,2)&amp;")"&amp;ROUND('W10'!D$247*100,2)&amp;"/ ("&amp;ROUND('W10'!E250,2)&amp;")"&amp;ROUND('W10'!E$247*100,2))))</f>
        <v>n/a</v>
      </c>
      <c r="W5" s="51" t="str">
        <f ca="1">IF(I5="","",IF('W10'!$L220="D","n/a",IF('W10'!F$247='W10'!G$247,"("&amp;ROUND('W10'!F250+'W10'!G250,2)&amp;")"&amp;ROUND('W10'!F$247*100,2),"("&amp;ROUND('W10'!F250,2)&amp;")"&amp;ROUND('W10'!F$247*100,2)&amp;"/ ("&amp;ROUND('W10'!G250,2)&amp;")"&amp;ROUND('W10'!G$247*100,2))))</f>
        <v>n/a</v>
      </c>
      <c r="X5" s="51" t="str">
        <f ca="1">IF(J5="","",IF('W10'!$L220="D","n/a",IF('W10'!H$247='W10'!I$247,"("&amp;ROUND('W10'!H250+'W10'!I250,2)&amp;")"&amp;ROUND('W10'!H$247*100,2),"("&amp;ROUND('W10'!H250,2)&amp;")"&amp;ROUND('W10'!H$247*100,2)&amp;"/ ("&amp;ROUND('W10'!I250,2)&amp;")"&amp;ROUND('W10'!I$247*100,2))))</f>
        <v>n/a</v>
      </c>
      <c r="Y5" s="51" t="str">
        <f ca="1">IF(K5="","",IF('W10'!$L220="D","n/a",IF('W10'!J$247='W10'!K$247,"("&amp;ROUND('W10'!J250+'W10'!K250,2)&amp;")"&amp;ROUND('W10'!J$247*100,2),"("&amp;ROUND('W10'!J250,2)&amp;")"&amp;ROUND('W10'!J$247*100,2)&amp;"/ ("&amp;ROUND('W10'!K250,2)&amp;")"&amp;ROUND('W10'!K$247*100,2))))</f>
        <v>n/a</v>
      </c>
    </row>
    <row r="6" spans="1:25" x14ac:dyDescent="0.25">
      <c r="A6" s="129">
        <f>'R10'!A11</f>
        <v>4</v>
      </c>
      <c r="B6" s="124">
        <f>'R10'!B11</f>
        <v>0</v>
      </c>
      <c r="C6" s="124"/>
      <c r="D6" s="125"/>
      <c r="E6" s="244" t="s">
        <v>217</v>
      </c>
      <c r="F6" s="255"/>
      <c r="G6" s="100">
        <f ca="1">IF(AND($L6="Yes",'R10'!$L11=9),'W10'!B357,IF(AND($L6="Yes",'R10'!$L11=11),'W10'!B383,IF(OR($L6="No",'R10'!L11=12),'W10'!B331)))</f>
        <v>0</v>
      </c>
      <c r="H6" s="100">
        <f ca="1">IF(AND($L6="Yes",'R10'!$L11=9),'W10'!D357,IF(AND($L6="Yes",'R10'!$L11=11),'W10'!D383,IF(OR($L6="No",'R10'!L11=12),'W10'!D331)))</f>
        <v>0</v>
      </c>
      <c r="I6" s="100">
        <f ca="1">IF(AND($L6="Yes",'R10'!$L11=9),'W10'!F357,IF(AND($L6="Yes",'R10'!$L11=11),'W10'!F383,IF(OR($L6="No",'R10'!L11=12),'W10'!F331)))</f>
        <v>0</v>
      </c>
      <c r="J6" s="100">
        <f ca="1">IF(AND($L6="Yes",'R10'!$L11=9),'W10'!H357,IF(AND($L6="Yes",'R10'!$L11=11),'W10'!H383,IF(OR($L6="No",'R10'!L11=12),'W10'!H331)))</f>
        <v>0</v>
      </c>
      <c r="K6" s="100">
        <f ca="1">IF(AND($L6="Yes",'R10'!$L11=9),'W10'!J357,IF(AND($L6="Yes",'R10'!$L11=11),'W10'!J383,IF(OR($L6="No",'R10'!L11=12),'W10'!J331)))</f>
        <v>0</v>
      </c>
      <c r="L6" s="245" t="s">
        <v>150</v>
      </c>
      <c r="M6" s="255"/>
      <c r="N6" s="128">
        <f ca="1">IF(G6=0,0,IF(G6="",0,'R10'!N11/(G6/'R10'!$L11)))</f>
        <v>0</v>
      </c>
      <c r="O6" s="128">
        <f ca="1">IF(H6=0,0,IF(H6="",0,'R10'!O11/(H6/'R10'!$L11)))</f>
        <v>0</v>
      </c>
      <c r="P6" s="128">
        <f ca="1">IF(I6=0,0,IF(I6="",0,'R10'!P11/(I6/'R10'!$L11)))</f>
        <v>0</v>
      </c>
      <c r="Q6" s="128">
        <f ca="1">IF(J6=0,0,IF(J6="",0,'R10'!Q11/(J6/'R10'!$L11)))</f>
        <v>0</v>
      </c>
      <c r="R6" s="128">
        <f ca="1">IF(K6=0,0,IF(K6="",0,'R10'!R11/(K6/'R10'!$L11)))</f>
        <v>0</v>
      </c>
      <c r="S6" s="51" t="str">
        <f>IF('R10'!K11="","CAL",'R10'!K11)</f>
        <v>CAL</v>
      </c>
      <c r="T6" s="255"/>
      <c r="U6" s="51" t="str">
        <f ca="1">IF(G6="","",IF('W10'!$L221="D","n/a",IF('W10'!B$247='W10'!C$247,"("&amp;ROUND('W10'!B251+'W10'!C251,2)&amp;")"&amp;ROUND('W10'!B$247*100,2),"("&amp;ROUND('W10'!B251,2)&amp;")"&amp;ROUND('W10'!B$247*100,2)&amp;"/ ("&amp;ROUND('W10'!C251,2)&amp;")"&amp;ROUND('W10'!C$247*100,2))))</f>
        <v>n/a</v>
      </c>
      <c r="V6" s="51" t="str">
        <f ca="1">IF(H6="","",IF('W10'!$L221="D","n/a",IF('W10'!D$247='W10'!E$247,"("&amp;ROUND('W10'!D251+'W10'!E251,2)&amp;")"&amp;ROUND('W10'!D$247*100,2),"("&amp;ROUND('W10'!D251,2)&amp;")"&amp;ROUND('W10'!D$247*100,2)&amp;"/ ("&amp;ROUND('W10'!E251,2)&amp;")"&amp;ROUND('W10'!E$247*100,2))))</f>
        <v>n/a</v>
      </c>
      <c r="W6" s="51" t="str">
        <f ca="1">IF(I6="","",IF('W10'!$L221="D","n/a",IF('W10'!F$247='W10'!G$247,"("&amp;ROUND('W10'!F251+'W10'!G251,2)&amp;")"&amp;ROUND('W10'!F$247*100,2),"("&amp;ROUND('W10'!F251,2)&amp;")"&amp;ROUND('W10'!F$247*100,2)&amp;"/ ("&amp;ROUND('W10'!G251,2)&amp;")"&amp;ROUND('W10'!G$247*100,2))))</f>
        <v>n/a</v>
      </c>
      <c r="X6" s="51" t="str">
        <f ca="1">IF(J6="","",IF('W10'!$L221="D","n/a",IF('W10'!H$247='W10'!I$247,"("&amp;ROUND('W10'!H251+'W10'!I251,2)&amp;")"&amp;ROUND('W10'!H$247*100,2),"("&amp;ROUND('W10'!H251,2)&amp;")"&amp;ROUND('W10'!H$247*100,2)&amp;"/ ("&amp;ROUND('W10'!I251,2)&amp;")"&amp;ROUND('W10'!I$247*100,2))))</f>
        <v>n/a</v>
      </c>
      <c r="Y6" s="51" t="str">
        <f ca="1">IF(K6="","",IF('W10'!$L221="D","n/a",IF('W10'!J$247='W10'!K$247,"("&amp;ROUND('W10'!J251+'W10'!K251,2)&amp;")"&amp;ROUND('W10'!J$247*100,2),"("&amp;ROUND('W10'!J251,2)&amp;")"&amp;ROUND('W10'!J$247*100,2)&amp;"/ ("&amp;ROUND('W10'!K251,2)&amp;")"&amp;ROUND('W10'!K$247*100,2))))</f>
        <v>n/a</v>
      </c>
    </row>
    <row r="7" spans="1:25" x14ac:dyDescent="0.25">
      <c r="A7" s="129">
        <f>'R10'!A12</f>
        <v>5</v>
      </c>
      <c r="B7" s="124">
        <f>'R10'!B12</f>
        <v>0</v>
      </c>
      <c r="C7" s="124"/>
      <c r="D7" s="125"/>
      <c r="E7" s="267" t="s">
        <v>217</v>
      </c>
      <c r="F7" s="255"/>
      <c r="G7" s="100">
        <f ca="1">IF(AND($L7="Yes",'R10'!$L12=9),'W10'!B358,IF(AND($L7="Yes",'R10'!$L12=11),'W10'!B384,IF(OR($L7="No",'R10'!L12=12),'W10'!B332)))</f>
        <v>0</v>
      </c>
      <c r="H7" s="100">
        <f ca="1">IF(AND($L7="Yes",'R10'!$L12=9),'W10'!D358,IF(AND($L7="Yes",'R10'!$L12=11),'W10'!D384,IF(OR($L7="No",'R10'!L12=12),'W10'!D332)))</f>
        <v>0</v>
      </c>
      <c r="I7" s="100">
        <f ca="1">IF(AND($L7="Yes",'R10'!$L12=9),'W10'!F358,IF(AND($L7="Yes",'R10'!$L12=11),'W10'!F384,IF(OR($L7="No",'R10'!L12=12),'W10'!F332)))</f>
        <v>0</v>
      </c>
      <c r="J7" s="100">
        <f ca="1">IF(AND($L7="Yes",'R10'!$L12=9),'W10'!H358,IF(AND($L7="Yes",'R10'!$L12=11),'W10'!H384,IF(OR($L7="No",'R10'!L12=12),'W10'!H332)))</f>
        <v>0</v>
      </c>
      <c r="K7" s="100">
        <f ca="1">IF(AND($L7="Yes",'R10'!$L12=9),'W10'!J358,IF(AND($L7="Yes",'R10'!$L12=11),'W10'!J384,IF(OR($L7="No",'R10'!L12=12),'W10'!J332)))</f>
        <v>0</v>
      </c>
      <c r="L7" s="245" t="s">
        <v>150</v>
      </c>
      <c r="M7" s="255"/>
      <c r="N7" s="128">
        <f ca="1">IF(G7=0,0,IF(G7="",0,'R10'!N12/(G7/'R10'!$L12)))</f>
        <v>0</v>
      </c>
      <c r="O7" s="128">
        <f ca="1">IF(H7=0,0,IF(H7="",0,'R10'!O12/(H7/'R10'!$L12)))</f>
        <v>0</v>
      </c>
      <c r="P7" s="128">
        <f ca="1">IF(I7=0,0,IF(I7="",0,'R10'!P12/(I7/'R10'!$L12)))</f>
        <v>0</v>
      </c>
      <c r="Q7" s="128">
        <f ca="1">IF(J7=0,0,IF(J7="",0,'R10'!Q12/(J7/'R10'!$L12)))</f>
        <v>0</v>
      </c>
      <c r="R7" s="128">
        <f ca="1">IF(K7=0,0,IF(K7="",0,'R10'!R12/(K7/'R10'!$L12)))</f>
        <v>0</v>
      </c>
      <c r="S7" s="51" t="str">
        <f>IF('R10'!K12="","CAL",'R10'!K12)</f>
        <v>CAL</v>
      </c>
      <c r="T7" s="255"/>
      <c r="U7" s="51" t="str">
        <f ca="1">IF(G7="","",IF('W10'!$L222="D","n/a",IF('W10'!B$247='W10'!C$247,"("&amp;ROUND('W10'!B252+'W10'!C252,2)&amp;")"&amp;ROUND('W10'!B$247*100,2),"("&amp;ROUND('W10'!B252,2)&amp;")"&amp;ROUND('W10'!B$247*100,2)&amp;"/ ("&amp;ROUND('W10'!C252,2)&amp;")"&amp;ROUND('W10'!C$247*100,2))))</f>
        <v>n/a</v>
      </c>
      <c r="V7" s="51" t="str">
        <f ca="1">IF(H7="","",IF('W10'!$L222="D","n/a",IF('W10'!D$247='W10'!E$247,"("&amp;ROUND('W10'!D252+'W10'!E252,2)&amp;")"&amp;ROUND('W10'!D$247*100,2),"("&amp;ROUND('W10'!D252,2)&amp;")"&amp;ROUND('W10'!D$247*100,2)&amp;"/ ("&amp;ROUND('W10'!E252,2)&amp;")"&amp;ROUND('W10'!E$247*100,2))))</f>
        <v>n/a</v>
      </c>
      <c r="W7" s="51" t="str">
        <f ca="1">IF(I7="","",IF('W10'!$L222="D","n/a",IF('W10'!F$247='W10'!G$247,"("&amp;ROUND('W10'!F252+'W10'!G252,2)&amp;")"&amp;ROUND('W10'!F$247*100,2),"("&amp;ROUND('W10'!F252,2)&amp;")"&amp;ROUND('W10'!F$247*100,2)&amp;"/ ("&amp;ROUND('W10'!G252,2)&amp;")"&amp;ROUND('W10'!G$247*100,2))))</f>
        <v>n/a</v>
      </c>
      <c r="X7" s="51" t="str">
        <f ca="1">IF(J7="","",IF('W10'!$L222="D","n/a",IF('W10'!H$247='W10'!I$247,"("&amp;ROUND('W10'!H252+'W10'!I252,2)&amp;")"&amp;ROUND('W10'!H$247*100,2),"("&amp;ROUND('W10'!H252,2)&amp;")"&amp;ROUND('W10'!H$247*100,2)&amp;"/ ("&amp;ROUND('W10'!I252,2)&amp;")"&amp;ROUND('W10'!I$247*100,2))))</f>
        <v>n/a</v>
      </c>
      <c r="Y7" s="51" t="str">
        <f ca="1">IF(K7="","",IF('W10'!$L222="D","n/a",IF('W10'!J$247='W10'!K$247,"("&amp;ROUND('W10'!J252+'W10'!K252,2)&amp;")"&amp;ROUND('W10'!J$247*100,2),"("&amp;ROUND('W10'!J252,2)&amp;")"&amp;ROUND('W10'!J$247*100,2)&amp;"/ ("&amp;ROUND('W10'!K252,2)&amp;")"&amp;ROUND('W10'!K$247*100,2))))</f>
        <v>n/a</v>
      </c>
    </row>
    <row r="8" spans="1:25" x14ac:dyDescent="0.25">
      <c r="A8" s="129">
        <f>'R10'!A13</f>
        <v>6</v>
      </c>
      <c r="B8" s="124">
        <f>'R10'!B13</f>
        <v>0</v>
      </c>
      <c r="C8" s="124"/>
      <c r="D8" s="125"/>
      <c r="E8" s="267" t="s">
        <v>217</v>
      </c>
      <c r="F8" s="255"/>
      <c r="G8" s="100">
        <f ca="1">IF(AND($L8="Yes",'R10'!$L13=9),'W10'!B359,IF(AND($L8="Yes",'R10'!$L13=11),'W10'!B385,IF(OR($L8="No",'R10'!L13=12),'W10'!B333)))</f>
        <v>0</v>
      </c>
      <c r="H8" s="100">
        <f ca="1">IF(AND($L8="Yes",'R10'!$L13=9),'W10'!D359,IF(AND($L8="Yes",'R10'!$L13=11),'W10'!D385,IF(OR($L8="No",'R10'!L13=12),'W10'!D333)))</f>
        <v>0</v>
      </c>
      <c r="I8" s="100">
        <f ca="1">IF(AND($L8="Yes",'R10'!$L13=9),'W10'!F359,IF(AND($L8="Yes",'R10'!$L13=11),'W10'!F385,IF(OR($L8="No",'R10'!L13=12),'W10'!F333)))</f>
        <v>0</v>
      </c>
      <c r="J8" s="100">
        <f ca="1">IF(AND($L8="Yes",'R10'!$L13=9),'W10'!H359,IF(AND($L8="Yes",'R10'!$L13=11),'W10'!H385,IF(OR($L8="No",'R10'!L13=12),'W10'!H333)))</f>
        <v>0</v>
      </c>
      <c r="K8" s="100">
        <f ca="1">IF(AND($L8="Yes",'R10'!$L13=9),'W10'!J359,IF(AND($L8="Yes",'R10'!$L13=11),'W10'!J385,IF(OR($L8="No",'R10'!L13=12),'W10'!J333)))</f>
        <v>0</v>
      </c>
      <c r="L8" s="245" t="s">
        <v>150</v>
      </c>
      <c r="M8" s="255"/>
      <c r="N8" s="128">
        <f ca="1">IF(G8=0,0,IF(G8="",0,'R10'!N13/(G8/'R10'!$L13)))</f>
        <v>0</v>
      </c>
      <c r="O8" s="128">
        <f ca="1">IF(H8=0,0,IF(H8="",0,'R10'!O13/(H8/'R10'!$L13)))</f>
        <v>0</v>
      </c>
      <c r="P8" s="128">
        <f ca="1">IF(I8=0,0,IF(I8="",0,'R10'!P13/(I8/'R10'!$L13)))</f>
        <v>0</v>
      </c>
      <c r="Q8" s="128">
        <f ca="1">IF(J8=0,0,IF(J8="",0,'R10'!Q13/(J8/'R10'!$L13)))</f>
        <v>0</v>
      </c>
      <c r="R8" s="128">
        <f ca="1">IF(K8=0,0,IF(K8="",0,'R10'!R13/(K8/'R10'!$L13)))</f>
        <v>0</v>
      </c>
      <c r="S8" s="51" t="str">
        <f>IF('R10'!K13="","CAL",'R10'!K13)</f>
        <v>CAL</v>
      </c>
      <c r="T8" s="255"/>
      <c r="U8" s="51" t="str">
        <f ca="1">IF(G8="","",IF('W10'!$L223="D","n/a",IF('W10'!B$247='W10'!C$247,"("&amp;ROUND('W10'!B253+'W10'!C253,2)&amp;")"&amp;ROUND('W10'!B$247*100,2),"("&amp;ROUND('W10'!B253,2)&amp;")"&amp;ROUND('W10'!B$247*100,2)&amp;"/ ("&amp;ROUND('W10'!C253,2)&amp;")"&amp;ROUND('W10'!C$247*100,2))))</f>
        <v>n/a</v>
      </c>
      <c r="V8" s="51" t="str">
        <f ca="1">IF(H8="","",IF('W10'!$L223="D","n/a",IF('W10'!D$247='W10'!E$247,"("&amp;ROUND('W10'!D253+'W10'!E253,2)&amp;")"&amp;ROUND('W10'!D$247*100,2),"("&amp;ROUND('W10'!D253,2)&amp;")"&amp;ROUND('W10'!D$247*100,2)&amp;"/ ("&amp;ROUND('W10'!E253,2)&amp;")"&amp;ROUND('W10'!E$247*100,2))))</f>
        <v>n/a</v>
      </c>
      <c r="W8" s="51" t="str">
        <f ca="1">IF(I8="","",IF('W10'!$L223="D","n/a",IF('W10'!F$247='W10'!G$247,"("&amp;ROUND('W10'!F253+'W10'!G253,2)&amp;")"&amp;ROUND('W10'!F$247*100,2),"("&amp;ROUND('W10'!F253,2)&amp;")"&amp;ROUND('W10'!F$247*100,2)&amp;"/ ("&amp;ROUND('W10'!G253,2)&amp;")"&amp;ROUND('W10'!G$247*100,2))))</f>
        <v>n/a</v>
      </c>
      <c r="X8" s="51" t="str">
        <f ca="1">IF(J8="","",IF('W10'!$L223="D","n/a",IF('W10'!H$247='W10'!I$247,"("&amp;ROUND('W10'!H253+'W10'!I253,2)&amp;")"&amp;ROUND('W10'!H$247*100,2),"("&amp;ROUND('W10'!H253,2)&amp;")"&amp;ROUND('W10'!H$247*100,2)&amp;"/ ("&amp;ROUND('W10'!I253,2)&amp;")"&amp;ROUND('W10'!I$247*100,2))))</f>
        <v>n/a</v>
      </c>
      <c r="Y8" s="51" t="str">
        <f ca="1">IF(K8="","",IF('W10'!$L223="D","n/a",IF('W10'!J$247='W10'!K$247,"("&amp;ROUND('W10'!J253+'W10'!K253,2)&amp;")"&amp;ROUND('W10'!J$247*100,2),"("&amp;ROUND('W10'!J253,2)&amp;")"&amp;ROUND('W10'!J$247*100,2)&amp;"/ ("&amp;ROUND('W10'!K253,2)&amp;")"&amp;ROUND('W10'!K$247*100,2))))</f>
        <v>n/a</v>
      </c>
    </row>
    <row r="9" spans="1:25" x14ac:dyDescent="0.25">
      <c r="A9" s="129">
        <f>'R10'!A14</f>
        <v>7</v>
      </c>
      <c r="B9" s="124">
        <f>'R10'!B14</f>
        <v>0</v>
      </c>
      <c r="C9" s="124"/>
      <c r="D9" s="125"/>
      <c r="E9" s="267" t="s">
        <v>217</v>
      </c>
      <c r="F9" s="255"/>
      <c r="G9" s="100">
        <f ca="1">IF(AND($L9="Yes",'R10'!$L14=9),'W10'!B360,IF(AND($L9="Yes",'R10'!$L14=11),'W10'!B386,IF(OR($L9="No",'R10'!L14=12),'W10'!B334)))</f>
        <v>0</v>
      </c>
      <c r="H9" s="100">
        <f ca="1">IF(AND($L9="Yes",'R10'!$L14=9),'W10'!D360,IF(AND($L9="Yes",'R10'!$L14=11),'W10'!D386,IF(OR($L9="No",'R10'!L14=12),'W10'!D334)))</f>
        <v>0</v>
      </c>
      <c r="I9" s="100">
        <f ca="1">IF(AND($L9="Yes",'R10'!$L14=9),'W10'!F360,IF(AND($L9="Yes",'R10'!$L14=11),'W10'!F386,IF(OR($L9="No",'R10'!L14=12),'W10'!F334)))</f>
        <v>0</v>
      </c>
      <c r="J9" s="100">
        <f ca="1">IF(AND($L9="Yes",'R10'!$L14=9),'W10'!H360,IF(AND($L9="Yes",'R10'!$L14=11),'W10'!H386,IF(OR($L9="No",'R10'!L14=12),'W10'!H334)))</f>
        <v>0</v>
      </c>
      <c r="K9" s="100">
        <f ca="1">IF(AND($L9="Yes",'R10'!$L14=9),'W10'!J360,IF(AND($L9="Yes",'R10'!$L14=11),'W10'!J386,IF(OR($L9="No",'R10'!L14=12),'W10'!J334)))</f>
        <v>0</v>
      </c>
      <c r="L9" s="245" t="s">
        <v>150</v>
      </c>
      <c r="M9" s="255"/>
      <c r="N9" s="128">
        <f ca="1">IF(G9=0,0,IF(G9="",0,'R10'!N14/(G9/'R10'!$L14)))</f>
        <v>0</v>
      </c>
      <c r="O9" s="128">
        <f ca="1">IF(H9=0,0,IF(H9="",0,'R10'!O14/(H9/'R10'!$L14)))</f>
        <v>0</v>
      </c>
      <c r="P9" s="128">
        <f ca="1">IF(I9=0,0,IF(I9="",0,'R10'!P14/(I9/'R10'!$L14)))</f>
        <v>0</v>
      </c>
      <c r="Q9" s="128">
        <f ca="1">IF(J9=0,0,IF(J9="",0,'R10'!Q14/(J9/'R10'!$L14)))</f>
        <v>0</v>
      </c>
      <c r="R9" s="128">
        <f ca="1">IF(K9=0,0,IF(K9="",0,'R10'!R14/(K9/'R10'!$L14)))</f>
        <v>0</v>
      </c>
      <c r="S9" s="51" t="str">
        <f>IF('R10'!K14="","CAL",'R10'!K14)</f>
        <v>CAL</v>
      </c>
      <c r="T9" s="255"/>
      <c r="U9" s="51" t="str">
        <f ca="1">IF(G9="","",IF('W10'!$L224="D","n/a",IF('W10'!B$247='W10'!C$247,"("&amp;ROUND('W10'!B254+'W10'!C254,2)&amp;")"&amp;ROUND('W10'!B$247*100,2),"("&amp;ROUND('W10'!B254,2)&amp;")"&amp;ROUND('W10'!B$247*100,2)&amp;"/ ("&amp;ROUND('W10'!C254,2)&amp;")"&amp;ROUND('W10'!C$247*100,2))))</f>
        <v>n/a</v>
      </c>
      <c r="V9" s="51" t="str">
        <f ca="1">IF(H9="","",IF('W10'!$L224="D","n/a",IF('W10'!D$247='W10'!E$247,"("&amp;ROUND('W10'!D254+'W10'!E254,2)&amp;")"&amp;ROUND('W10'!D$247*100,2),"("&amp;ROUND('W10'!D254,2)&amp;")"&amp;ROUND('W10'!D$247*100,2)&amp;"/ ("&amp;ROUND('W10'!E254,2)&amp;")"&amp;ROUND('W10'!E$247*100,2))))</f>
        <v>n/a</v>
      </c>
      <c r="W9" s="51" t="str">
        <f ca="1">IF(I9="","",IF('W10'!$L224="D","n/a",IF('W10'!F$247='W10'!G$247,"("&amp;ROUND('W10'!F254+'W10'!G254,2)&amp;")"&amp;ROUND('W10'!F$247*100,2),"("&amp;ROUND('W10'!F254,2)&amp;")"&amp;ROUND('W10'!F$247*100,2)&amp;"/ ("&amp;ROUND('W10'!G254,2)&amp;")"&amp;ROUND('W10'!G$247*100,2))))</f>
        <v>n/a</v>
      </c>
      <c r="X9" s="51" t="str">
        <f ca="1">IF(J9="","",IF('W10'!$L224="D","n/a",IF('W10'!H$247='W10'!I$247,"("&amp;ROUND('W10'!H254+'W10'!I254,2)&amp;")"&amp;ROUND('W10'!H$247*100,2),"("&amp;ROUND('W10'!H254,2)&amp;")"&amp;ROUND('W10'!H$247*100,2)&amp;"/ ("&amp;ROUND('W10'!I254,2)&amp;")"&amp;ROUND('W10'!I$247*100,2))))</f>
        <v>n/a</v>
      </c>
      <c r="Y9" s="51" t="str">
        <f ca="1">IF(K9="","",IF('W10'!$L224="D","n/a",IF('W10'!J$247='W10'!K$247,"("&amp;ROUND('W10'!J254+'W10'!K254,2)&amp;")"&amp;ROUND('W10'!J$247*100,2),"("&amp;ROUND('W10'!J254,2)&amp;")"&amp;ROUND('W10'!J$247*100,2)&amp;"/ ("&amp;ROUND('W10'!K254,2)&amp;")"&amp;ROUND('W10'!K$247*100,2))))</f>
        <v>n/a</v>
      </c>
    </row>
    <row r="10" spans="1:25" x14ac:dyDescent="0.25">
      <c r="A10" s="129">
        <f>'R10'!A15</f>
        <v>8</v>
      </c>
      <c r="B10" s="124">
        <f>'R10'!B15</f>
        <v>0</v>
      </c>
      <c r="C10" s="124"/>
      <c r="D10" s="125"/>
      <c r="E10" s="267" t="s">
        <v>217</v>
      </c>
      <c r="F10" s="255"/>
      <c r="G10" s="100">
        <f ca="1">IF(AND($L10="Yes",'R10'!$L15=9),'W10'!B361,IF(AND($L10="Yes",'R10'!$L15=11),'W10'!B387,IF(OR($L10="No",'R10'!L15=12),'W10'!B335)))</f>
        <v>0</v>
      </c>
      <c r="H10" s="100">
        <f ca="1">IF(AND($L10="Yes",'R10'!$L15=9),'W10'!D361,IF(AND($L10="Yes",'R10'!$L15=11),'W10'!D387,IF(OR($L10="No",'R10'!L15=12),'W10'!D335)))</f>
        <v>0</v>
      </c>
      <c r="I10" s="100">
        <f ca="1">IF(AND($L10="Yes",'R10'!$L15=9),'W10'!F361,IF(AND($L10="Yes",'R10'!$L15=11),'W10'!F387,IF(OR($L10="No",'R10'!L15=12),'W10'!F335)))</f>
        <v>0</v>
      </c>
      <c r="J10" s="100">
        <f ca="1">IF(AND($L10="Yes",'R10'!$L15=9),'W10'!H361,IF(AND($L10="Yes",'R10'!$L15=11),'W10'!H387,IF(OR($L10="No",'R10'!L15=12),'W10'!H335)))</f>
        <v>0</v>
      </c>
      <c r="K10" s="100">
        <f ca="1">IF(AND($L10="Yes",'R10'!$L15=9),'W10'!J361,IF(AND($L10="Yes",'R10'!$L15=11),'W10'!J387,IF(OR($L10="No",'R10'!L15=12),'W10'!J335)))</f>
        <v>0</v>
      </c>
      <c r="L10" s="245" t="s">
        <v>150</v>
      </c>
      <c r="M10" s="255"/>
      <c r="N10" s="128">
        <f ca="1">IF(G10=0,0,IF(G10="",0,'R10'!N15/(G10/'R10'!$L15)))</f>
        <v>0</v>
      </c>
      <c r="O10" s="128">
        <f ca="1">IF(H10=0,0,IF(H10="",0,'R10'!O15/(H10/'R10'!$L15)))</f>
        <v>0</v>
      </c>
      <c r="P10" s="128">
        <f ca="1">IF(I10=0,0,IF(I10="",0,'R10'!P15/(I10/'R10'!$L15)))</f>
        <v>0</v>
      </c>
      <c r="Q10" s="128">
        <f ca="1">IF(J10=0,0,IF(J10="",0,'R10'!Q15/(J10/'R10'!$L15)))</f>
        <v>0</v>
      </c>
      <c r="R10" s="128">
        <f ca="1">IF(K10=0,0,IF(K10="",0,'R10'!R15/(K10/'R10'!$L15)))</f>
        <v>0</v>
      </c>
      <c r="S10" s="51" t="str">
        <f>IF('R10'!K15="","CAL",'R10'!K15)</f>
        <v>CAL</v>
      </c>
      <c r="T10" s="255"/>
      <c r="U10" s="51" t="str">
        <f ca="1">IF(G10="","",IF('W10'!$L225="D","n/a",IF('W10'!B$247='W10'!C$247,"("&amp;ROUND('W10'!B255+'W10'!C255,2)&amp;")"&amp;ROUND('W10'!B$247*100,2),"("&amp;ROUND('W10'!B255,2)&amp;")"&amp;ROUND('W10'!B$247*100,2)&amp;"/ ("&amp;ROUND('W10'!C255,2)&amp;")"&amp;ROUND('W10'!C$247*100,2))))</f>
        <v>n/a</v>
      </c>
      <c r="V10" s="51" t="str">
        <f ca="1">IF(H10="","",IF('W10'!$L225="D","n/a",IF('W10'!D$247='W10'!E$247,"("&amp;ROUND('W10'!D255+'W10'!E255,2)&amp;")"&amp;ROUND('W10'!D$247*100,2),"("&amp;ROUND('W10'!D255,2)&amp;")"&amp;ROUND('W10'!D$247*100,2)&amp;"/ ("&amp;ROUND('W10'!E255,2)&amp;")"&amp;ROUND('W10'!E$247*100,2))))</f>
        <v>n/a</v>
      </c>
      <c r="W10" s="51" t="str">
        <f ca="1">IF(I10="","",IF('W10'!$L225="D","n/a",IF('W10'!F$247='W10'!G$247,"("&amp;ROUND('W10'!F255+'W10'!G255,2)&amp;")"&amp;ROUND('W10'!F$247*100,2),"("&amp;ROUND('W10'!F255,2)&amp;")"&amp;ROUND('W10'!F$247*100,2)&amp;"/ ("&amp;ROUND('W10'!G255,2)&amp;")"&amp;ROUND('W10'!G$247*100,2))))</f>
        <v>n/a</v>
      </c>
      <c r="X10" s="51" t="str">
        <f ca="1">IF(J10="","",IF('W10'!$L225="D","n/a",IF('W10'!H$247='W10'!I$247,"("&amp;ROUND('W10'!H255+'W10'!I255,2)&amp;")"&amp;ROUND('W10'!H$247*100,2),"("&amp;ROUND('W10'!H255,2)&amp;")"&amp;ROUND('W10'!H$247*100,2)&amp;"/ ("&amp;ROUND('W10'!I255,2)&amp;")"&amp;ROUND('W10'!I$247*100,2))))</f>
        <v>n/a</v>
      </c>
      <c r="Y10" s="51" t="str">
        <f ca="1">IF(K10="","",IF('W10'!$L225="D","n/a",IF('W10'!J$247='W10'!K$247,"("&amp;ROUND('W10'!J255+'W10'!K255,2)&amp;")"&amp;ROUND('W10'!J$247*100,2),"("&amp;ROUND('W10'!J255,2)&amp;")"&amp;ROUND('W10'!J$247*100,2)&amp;"/ ("&amp;ROUND('W10'!K255,2)&amp;")"&amp;ROUND('W10'!K$247*100,2))))</f>
        <v>n/a</v>
      </c>
    </row>
    <row r="11" spans="1:25" x14ac:dyDescent="0.25">
      <c r="A11" s="129">
        <f>'R10'!A16</f>
        <v>9</v>
      </c>
      <c r="B11" s="124">
        <f>'R10'!B16</f>
        <v>0</v>
      </c>
      <c r="C11" s="124"/>
      <c r="D11" s="125"/>
      <c r="E11" s="267" t="s">
        <v>180</v>
      </c>
      <c r="F11" s="255"/>
      <c r="G11" s="100">
        <f ca="1">IF(AND($L11="Yes",'R10'!$L16=9),'W10'!B362,IF(AND($L11="Yes",'R10'!$L16=11),'W10'!B388,IF(OR($L11="No",'R10'!L16=12),'W10'!B336)))</f>
        <v>0</v>
      </c>
      <c r="H11" s="100">
        <f ca="1">IF(AND($L11="Yes",'R10'!$L16=9),'W10'!D362,IF(AND($L11="Yes",'R10'!$L16=11),'W10'!D388,IF(OR($L11="No",'R10'!L16=12),'W10'!D336)))</f>
        <v>0</v>
      </c>
      <c r="I11" s="100">
        <f ca="1">IF(AND($L11="Yes",'R10'!$L16=9),'W10'!F362,IF(AND($L11="Yes",'R10'!$L16=11),'W10'!F388,IF(OR($L11="No",'R10'!L16=12),'W10'!F336)))</f>
        <v>0</v>
      </c>
      <c r="J11" s="100">
        <f ca="1">IF(AND($L11="Yes",'R10'!$L16=9),'W10'!H362,IF(AND($L11="Yes",'R10'!$L16=11),'W10'!H388,IF(OR($L11="No",'R10'!L16=12),'W10'!H336)))</f>
        <v>0</v>
      </c>
      <c r="K11" s="100">
        <f ca="1">IF(AND($L11="Yes",'R10'!$L16=9),'W10'!J362,IF(AND($L11="Yes",'R10'!$L16=11),'W10'!J388,IF(OR($L11="No",'R10'!L16=12),'W10'!J336)))</f>
        <v>0</v>
      </c>
      <c r="L11" s="245" t="s">
        <v>150</v>
      </c>
      <c r="M11" s="255"/>
      <c r="N11" s="128">
        <f ca="1">IF(G11=0,0,IF(G11="",0,'R10'!N16/(G11/'R10'!$L16)))</f>
        <v>0</v>
      </c>
      <c r="O11" s="128">
        <f ca="1">IF(H11=0,0,IF(H11="",0,'R10'!O16/(H11/'R10'!$L16)))</f>
        <v>0</v>
      </c>
      <c r="P11" s="128">
        <f ca="1">IF(I11=0,0,IF(I11="",0,'R10'!P16/(I11/'R10'!$L16)))</f>
        <v>0</v>
      </c>
      <c r="Q11" s="128">
        <f ca="1">IF(J11=0,0,IF(J11="",0,'R10'!Q16/(J11/'R10'!$L16)))</f>
        <v>0</v>
      </c>
      <c r="R11" s="128">
        <f ca="1">IF(K11=0,0,IF(K11="",0,'R10'!R16/(K11/'R10'!$L16)))</f>
        <v>0</v>
      </c>
      <c r="S11" s="51" t="str">
        <f>IF('R10'!K16="","CAL",'R10'!K16)</f>
        <v>CAL</v>
      </c>
      <c r="T11" s="255"/>
      <c r="U11" s="51" t="str">
        <f ca="1">IF(G11="","",IF('W10'!$L226="D","n/a",IF('W10'!B$247='W10'!C$247,"("&amp;ROUND('W10'!B256+'W10'!C256,2)&amp;")"&amp;ROUND('W10'!B$247*100,2),"("&amp;ROUND('W10'!B256,2)&amp;")"&amp;ROUND('W10'!B$247*100,2)&amp;"/ ("&amp;ROUND('W10'!C256,2)&amp;")"&amp;ROUND('W10'!C$247*100,2))))</f>
        <v>n/a</v>
      </c>
      <c r="V11" s="51" t="str">
        <f ca="1">IF(H11="","",IF('W10'!$L226="D","n/a",IF('W10'!D$247='W10'!E$247,"("&amp;ROUND('W10'!D256+'W10'!E256,2)&amp;")"&amp;ROUND('W10'!D$247*100,2),"("&amp;ROUND('W10'!D256,2)&amp;")"&amp;ROUND('W10'!D$247*100,2)&amp;"/ ("&amp;ROUND('W10'!E256,2)&amp;")"&amp;ROUND('W10'!E$247*100,2))))</f>
        <v>n/a</v>
      </c>
      <c r="W11" s="51" t="str">
        <f ca="1">IF(I11="","",IF('W10'!$L226="D","n/a",IF('W10'!F$247='W10'!G$247,"("&amp;ROUND('W10'!F256+'W10'!G256,2)&amp;")"&amp;ROUND('W10'!F$247*100,2),"("&amp;ROUND('W10'!F256,2)&amp;")"&amp;ROUND('W10'!F$247*100,2)&amp;"/ ("&amp;ROUND('W10'!G256,2)&amp;")"&amp;ROUND('W10'!G$247*100,2))))</f>
        <v>n/a</v>
      </c>
      <c r="X11" s="51" t="str">
        <f ca="1">IF(J11="","",IF('W10'!$L226="D","n/a",IF('W10'!H$247='W10'!I$247,"("&amp;ROUND('W10'!H256+'W10'!I256,2)&amp;")"&amp;ROUND('W10'!H$247*100,2),"("&amp;ROUND('W10'!H256,2)&amp;")"&amp;ROUND('W10'!H$247*100,2)&amp;"/ ("&amp;ROUND('W10'!I256,2)&amp;")"&amp;ROUND('W10'!I$247*100,2))))</f>
        <v>n/a</v>
      </c>
      <c r="Y11" s="51" t="str">
        <f ca="1">IF(K11="","",IF('W10'!$L226="D","n/a",IF('W10'!J$247='W10'!K$247,"("&amp;ROUND('W10'!J256+'W10'!K256,2)&amp;")"&amp;ROUND('W10'!J$247*100,2),"("&amp;ROUND('W10'!J256,2)&amp;")"&amp;ROUND('W10'!J$247*100,2)&amp;"/ ("&amp;ROUND('W10'!K256,2)&amp;")"&amp;ROUND('W10'!K$247*100,2))))</f>
        <v>n/a</v>
      </c>
    </row>
    <row r="12" spans="1:25" x14ac:dyDescent="0.25">
      <c r="A12" s="129">
        <f>'R10'!A17</f>
        <v>10</v>
      </c>
      <c r="B12" s="124">
        <f>'R10'!B17</f>
        <v>0</v>
      </c>
      <c r="C12" s="124"/>
      <c r="D12" s="125"/>
      <c r="E12" s="267" t="s">
        <v>180</v>
      </c>
      <c r="F12" s="255"/>
      <c r="G12" s="100">
        <f ca="1">IF(AND($L12="Yes",'R10'!$L17=9),'W10'!B363,IF(AND($L12="Yes",'R10'!$L17=11),'W10'!B389,IF(OR($L12="No",'R10'!L17=12),'W10'!B337)))</f>
        <v>0</v>
      </c>
      <c r="H12" s="100">
        <f ca="1">IF(AND($L12="Yes",'R10'!$L17=9),'W10'!D363,IF(AND($L12="Yes",'R10'!$L17=11),'W10'!D389,IF(OR($L12="No",'R10'!L17=12),'W10'!D337)))</f>
        <v>0</v>
      </c>
      <c r="I12" s="100">
        <f ca="1">IF(AND($L12="Yes",'R10'!$L17=9),'W10'!F363,IF(AND($L12="Yes",'R10'!$L17=11),'W10'!F389,IF(OR($L12="No",'R10'!L17=12),'W10'!F337)))</f>
        <v>0</v>
      </c>
      <c r="J12" s="100">
        <f ca="1">IF(AND($L12="Yes",'R10'!$L17=9),'W10'!H363,IF(AND($L12="Yes",'R10'!$L17=11),'W10'!H389,IF(OR($L12="No",'R10'!L17=12),'W10'!H337)))</f>
        <v>0</v>
      </c>
      <c r="K12" s="100">
        <f ca="1">IF(AND($L12="Yes",'R10'!$L17=9),'W10'!J363,IF(AND($L12="Yes",'R10'!$L17=11),'W10'!J389,IF(OR($L12="No",'R10'!L17=12),'W10'!J337)))</f>
        <v>0</v>
      </c>
      <c r="L12" s="245" t="s">
        <v>150</v>
      </c>
      <c r="M12" s="255"/>
      <c r="N12" s="128">
        <f ca="1">IF(G12=0,0,IF(G12="",0,'R10'!N17/(G12/'R10'!$L17)))</f>
        <v>0</v>
      </c>
      <c r="O12" s="128">
        <f ca="1">IF(H12=0,0,IF(H12="",0,'R10'!O17/(H12/'R10'!$L17)))</f>
        <v>0</v>
      </c>
      <c r="P12" s="128">
        <f ca="1">IF(I12=0,0,IF(I12="",0,'R10'!P17/(I12/'R10'!$L17)))</f>
        <v>0</v>
      </c>
      <c r="Q12" s="128">
        <f ca="1">IF(J12=0,0,IF(J12="",0,'R10'!Q17/(J12/'R10'!$L17)))</f>
        <v>0</v>
      </c>
      <c r="R12" s="128">
        <f ca="1">IF(K12=0,0,IF(K12="",0,'R10'!R17/(K12/'R10'!$L17)))</f>
        <v>0</v>
      </c>
      <c r="S12" s="51" t="str">
        <f>IF('R10'!K17="","CAL",'R10'!K17)</f>
        <v>CAL</v>
      </c>
      <c r="T12" s="255"/>
      <c r="U12" s="51" t="str">
        <f ca="1">IF(G12="","",IF('W10'!$L227="D","n/a",IF('W10'!B$247='W10'!C$247,"("&amp;ROUND('W10'!B257+'W10'!C257,2)&amp;")"&amp;ROUND('W10'!B$247*100,2),"("&amp;ROUND('W10'!B257,2)&amp;")"&amp;ROUND('W10'!B$247*100,2)&amp;"/ ("&amp;ROUND('W10'!C257,2)&amp;")"&amp;ROUND('W10'!C$247*100,2))))</f>
        <v>n/a</v>
      </c>
      <c r="V12" s="51" t="str">
        <f ca="1">IF(H12="","",IF('W10'!$L227="D","n/a",IF('W10'!D$247='W10'!E$247,"("&amp;ROUND('W10'!D257+'W10'!E257,2)&amp;")"&amp;ROUND('W10'!D$247*100,2),"("&amp;ROUND('W10'!D257,2)&amp;")"&amp;ROUND('W10'!D$247*100,2)&amp;"/ ("&amp;ROUND('W10'!E257,2)&amp;")"&amp;ROUND('W10'!E$247*100,2))))</f>
        <v>n/a</v>
      </c>
      <c r="W12" s="51" t="str">
        <f ca="1">IF(I12="","",IF('W10'!$L227="D","n/a",IF('W10'!F$247='W10'!G$247,"("&amp;ROUND('W10'!F257+'W10'!G257,2)&amp;")"&amp;ROUND('W10'!F$247*100,2),"("&amp;ROUND('W10'!F257,2)&amp;")"&amp;ROUND('W10'!F$247*100,2)&amp;"/ ("&amp;ROUND('W10'!G257,2)&amp;")"&amp;ROUND('W10'!G$247*100,2))))</f>
        <v>n/a</v>
      </c>
      <c r="X12" s="51" t="str">
        <f ca="1">IF(J12="","",IF('W10'!$L227="D","n/a",IF('W10'!H$247='W10'!I$247,"("&amp;ROUND('W10'!H257+'W10'!I257,2)&amp;")"&amp;ROUND('W10'!H$247*100,2),"("&amp;ROUND('W10'!H257,2)&amp;")"&amp;ROUND('W10'!H$247*100,2)&amp;"/ ("&amp;ROUND('W10'!I257,2)&amp;")"&amp;ROUND('W10'!I$247*100,2))))</f>
        <v>n/a</v>
      </c>
      <c r="Y12" s="51" t="str">
        <f ca="1">IF(K12="","",IF('W10'!$L227="D","n/a",IF('W10'!J$247='W10'!K$247,"("&amp;ROUND('W10'!J257+'W10'!K257,2)&amp;")"&amp;ROUND('W10'!J$247*100,2),"("&amp;ROUND('W10'!J257,2)&amp;")"&amp;ROUND('W10'!J$247*100,2)&amp;"/ ("&amp;ROUND('W10'!K257,2)&amp;")"&amp;ROUND('W10'!K$247*100,2))))</f>
        <v>n/a</v>
      </c>
    </row>
    <row r="13" spans="1:25" x14ac:dyDescent="0.25">
      <c r="A13" s="129">
        <f>'R10'!A18</f>
        <v>11</v>
      </c>
      <c r="B13" s="124">
        <f>'R10'!B18</f>
        <v>0</v>
      </c>
      <c r="C13" s="124"/>
      <c r="D13" s="125"/>
      <c r="E13" s="267" t="s">
        <v>180</v>
      </c>
      <c r="F13" s="255"/>
      <c r="G13" s="100">
        <f ca="1">IF(AND($L13="Yes",'R10'!$L18=9),'W10'!B364,IF(AND($L13="Yes",'R10'!$L18=11),'W10'!B390,IF(OR($L13="No",'R10'!L18=12),'W10'!B338)))</f>
        <v>0</v>
      </c>
      <c r="H13" s="100">
        <f ca="1">IF(AND($L13="Yes",'R10'!$L18=9),'W10'!D364,IF(AND($L13="Yes",'R10'!$L18=11),'W10'!D390,IF(OR($L13="No",'R10'!L18=12),'W10'!D338)))</f>
        <v>0</v>
      </c>
      <c r="I13" s="100">
        <f ca="1">IF(AND($L13="Yes",'R10'!$L18=9),'W10'!F364,IF(AND($L13="Yes",'R10'!$L18=11),'W10'!F390,IF(OR($L13="No",'R10'!L18=12),'W10'!F338)))</f>
        <v>0</v>
      </c>
      <c r="J13" s="100">
        <f ca="1">IF(AND($L13="Yes",'R10'!$L18=9),'W10'!H364,IF(AND($L13="Yes",'R10'!$L18=11),'W10'!H390,IF(OR($L13="No",'R10'!L18=12),'W10'!H338)))</f>
        <v>0</v>
      </c>
      <c r="K13" s="100">
        <f ca="1">IF(AND($L13="Yes",'R10'!$L18=9),'W10'!J364,IF(AND($L13="Yes",'R10'!$L18=11),'W10'!J390,IF(OR($L13="No",'R10'!L18=12),'W10'!J338)))</f>
        <v>0</v>
      </c>
      <c r="L13" s="245" t="s">
        <v>150</v>
      </c>
      <c r="M13" s="255"/>
      <c r="N13" s="128">
        <f ca="1">IF(G13=0,0,IF(G13="",0,'R10'!N18/(G13/'R10'!$L18)))</f>
        <v>0</v>
      </c>
      <c r="O13" s="128">
        <f ca="1">IF(H13=0,0,IF(H13="",0,'R10'!O18/(H13/'R10'!$L18)))</f>
        <v>0</v>
      </c>
      <c r="P13" s="128">
        <f ca="1">IF(I13=0,0,IF(I13="",0,'R10'!P18/(I13/'R10'!$L18)))</f>
        <v>0</v>
      </c>
      <c r="Q13" s="128">
        <f ca="1">IF(J13=0,0,IF(J13="",0,'R10'!Q18/(J13/'R10'!$L18)))</f>
        <v>0</v>
      </c>
      <c r="R13" s="128">
        <f ca="1">IF(K13=0,0,IF(K13="",0,'R10'!R18/(K13/'R10'!$L18)))</f>
        <v>0</v>
      </c>
      <c r="S13" s="51" t="str">
        <f>IF('R10'!K18="","CAL",'R10'!K18)</f>
        <v>CAL</v>
      </c>
      <c r="T13" s="255"/>
      <c r="U13" s="51" t="str">
        <f ca="1">IF(G13="","",IF('W10'!$L228="D","n/a",IF('W10'!B$247='W10'!C$247,"("&amp;ROUND('W10'!B258+'W10'!C258,2)&amp;")"&amp;ROUND('W10'!B$247*100,2),"("&amp;ROUND('W10'!B258,2)&amp;")"&amp;ROUND('W10'!B$247*100,2)&amp;"/ ("&amp;ROUND('W10'!C258,2)&amp;")"&amp;ROUND('W10'!C$247*100,2))))</f>
        <v>n/a</v>
      </c>
      <c r="V13" s="51" t="str">
        <f ca="1">IF(H13="","",IF('W10'!$L228="D","n/a",IF('W10'!D$247='W10'!E$247,"("&amp;ROUND('W10'!D258+'W10'!E258,2)&amp;")"&amp;ROUND('W10'!D$247*100,2),"("&amp;ROUND('W10'!D258,2)&amp;")"&amp;ROUND('W10'!D$247*100,2)&amp;"/ ("&amp;ROUND('W10'!E258,2)&amp;")"&amp;ROUND('W10'!E$247*100,2))))</f>
        <v>n/a</v>
      </c>
      <c r="W13" s="51" t="str">
        <f ca="1">IF(I13="","",IF('W10'!$L228="D","n/a",IF('W10'!F$247='W10'!G$247,"("&amp;ROUND('W10'!F258+'W10'!G258,2)&amp;")"&amp;ROUND('W10'!F$247*100,2),"("&amp;ROUND('W10'!F258,2)&amp;")"&amp;ROUND('W10'!F$247*100,2)&amp;"/ ("&amp;ROUND('W10'!G258,2)&amp;")"&amp;ROUND('W10'!G$247*100,2))))</f>
        <v>n/a</v>
      </c>
      <c r="X13" s="51" t="str">
        <f ca="1">IF(J13="","",IF('W10'!$L228="D","n/a",IF('W10'!H$247='W10'!I$247,"("&amp;ROUND('W10'!H258+'W10'!I258,2)&amp;")"&amp;ROUND('W10'!H$247*100,2),"("&amp;ROUND('W10'!H258,2)&amp;")"&amp;ROUND('W10'!H$247*100,2)&amp;"/ ("&amp;ROUND('W10'!I258,2)&amp;")"&amp;ROUND('W10'!I$247*100,2))))</f>
        <v>n/a</v>
      </c>
      <c r="Y13" s="51" t="str">
        <f ca="1">IF(K13="","",IF('W10'!$L228="D","n/a",IF('W10'!J$247='W10'!K$247,"("&amp;ROUND('W10'!J258+'W10'!K258,2)&amp;")"&amp;ROUND('W10'!J$247*100,2),"("&amp;ROUND('W10'!J258,2)&amp;")"&amp;ROUND('W10'!J$247*100,2)&amp;"/ ("&amp;ROUND('W10'!K258,2)&amp;")"&amp;ROUND('W10'!K$247*100,2))))</f>
        <v>n/a</v>
      </c>
    </row>
    <row r="14" spans="1:25" x14ac:dyDescent="0.25">
      <c r="A14" s="129">
        <f>'R10'!A19</f>
        <v>12</v>
      </c>
      <c r="B14" s="124">
        <f>'R10'!B19</f>
        <v>0</v>
      </c>
      <c r="C14" s="124"/>
      <c r="D14" s="125"/>
      <c r="E14" s="267" t="s">
        <v>180</v>
      </c>
      <c r="F14" s="255"/>
      <c r="G14" s="100">
        <f ca="1">IF(AND($L14="Yes",'R10'!$L19=9),'W10'!B365,IF(AND($L14="Yes",'R10'!$L19=11),'W10'!B391,IF(OR($L14="No",'R10'!L19=12),'W10'!B339)))</f>
        <v>0</v>
      </c>
      <c r="H14" s="100">
        <f ca="1">IF(AND($L14="Yes",'R10'!$L19=9),'W10'!D365,IF(AND($L14="Yes",'R10'!$L19=11),'W10'!D391,IF(OR($L14="No",'R10'!L19=12),'W10'!D339)))</f>
        <v>0</v>
      </c>
      <c r="I14" s="100">
        <f ca="1">IF(AND($L14="Yes",'R10'!$L19=9),'W10'!F365,IF(AND($L14="Yes",'R10'!$L19=11),'W10'!F391,IF(OR($L14="No",'R10'!L19=12),'W10'!F339)))</f>
        <v>0</v>
      </c>
      <c r="J14" s="100">
        <f ca="1">IF(AND($L14="Yes",'R10'!$L19=9),'W10'!H365,IF(AND($L14="Yes",'R10'!$L19=11),'W10'!H391,IF(OR($L14="No",'R10'!L19=12),'W10'!H339)))</f>
        <v>0</v>
      </c>
      <c r="K14" s="100">
        <f ca="1">IF(AND($L14="Yes",'R10'!$L19=9),'W10'!J365,IF(AND($L14="Yes",'R10'!$L19=11),'W10'!J391,IF(OR($L14="No",'R10'!L19=12),'W10'!J339)))</f>
        <v>0</v>
      </c>
      <c r="L14" s="245" t="s">
        <v>150</v>
      </c>
      <c r="M14" s="255"/>
      <c r="N14" s="128">
        <f ca="1">IF(G14=0,0,IF(G14="",0,'R10'!N19/(G14/'R10'!$L19)))</f>
        <v>0</v>
      </c>
      <c r="O14" s="128">
        <f ca="1">IF(H14=0,0,IF(H14="",0,'R10'!O19/(H14/'R10'!$L19)))</f>
        <v>0</v>
      </c>
      <c r="P14" s="128">
        <f ca="1">IF(I14=0,0,IF(I14="",0,'R10'!P19/(I14/'R10'!$L19)))</f>
        <v>0</v>
      </c>
      <c r="Q14" s="128">
        <f ca="1">IF(J14=0,0,IF(J14="",0,'R10'!Q19/(J14/'R10'!$L19)))</f>
        <v>0</v>
      </c>
      <c r="R14" s="128">
        <f ca="1">IF(K14=0,0,IF(K14="",0,'R10'!R19/(K14/'R10'!$L19)))</f>
        <v>0</v>
      </c>
      <c r="S14" s="51" t="str">
        <f>IF('R10'!K19="","CAL",'R10'!K19)</f>
        <v>CAL</v>
      </c>
      <c r="T14" s="255"/>
      <c r="U14" s="51" t="str">
        <f ca="1">IF(G14="","",IF('W10'!$L229="D","n/a",IF('W10'!B$247='W10'!C$247,"("&amp;ROUND('W10'!B259+'W10'!C259,2)&amp;")"&amp;ROUND('W10'!B$247*100,2),"("&amp;ROUND('W10'!B259,2)&amp;")"&amp;ROUND('W10'!B$247*100,2)&amp;"/ ("&amp;ROUND('W10'!C259,2)&amp;")"&amp;ROUND('W10'!C$247*100,2))))</f>
        <v>n/a</v>
      </c>
      <c r="V14" s="51" t="str">
        <f ca="1">IF(H14="","",IF('W10'!$L229="D","n/a",IF('W10'!D$247='W10'!E$247,"("&amp;ROUND('W10'!D259+'W10'!E259,2)&amp;")"&amp;ROUND('W10'!D$247*100,2),"("&amp;ROUND('W10'!D259,2)&amp;")"&amp;ROUND('W10'!D$247*100,2)&amp;"/ ("&amp;ROUND('W10'!E259,2)&amp;")"&amp;ROUND('W10'!E$247*100,2))))</f>
        <v>n/a</v>
      </c>
      <c r="W14" s="51" t="str">
        <f ca="1">IF(I14="","",IF('W10'!$L229="D","n/a",IF('W10'!F$247='W10'!G$247,"("&amp;ROUND('W10'!F259+'W10'!G259,2)&amp;")"&amp;ROUND('W10'!F$247*100,2),"("&amp;ROUND('W10'!F259,2)&amp;")"&amp;ROUND('W10'!F$247*100,2)&amp;"/ ("&amp;ROUND('W10'!G259,2)&amp;")"&amp;ROUND('W10'!G$247*100,2))))</f>
        <v>n/a</v>
      </c>
      <c r="X14" s="51" t="str">
        <f ca="1">IF(J14="","",IF('W10'!$L229="D","n/a",IF('W10'!H$247='W10'!I$247,"("&amp;ROUND('W10'!H259+'W10'!I259,2)&amp;")"&amp;ROUND('W10'!H$247*100,2),"("&amp;ROUND('W10'!H259,2)&amp;")"&amp;ROUND('W10'!H$247*100,2)&amp;"/ ("&amp;ROUND('W10'!I259,2)&amp;")"&amp;ROUND('W10'!I$247*100,2))))</f>
        <v>n/a</v>
      </c>
      <c r="Y14" s="51" t="str">
        <f ca="1">IF(K14="","",IF('W10'!$L229="D","n/a",IF('W10'!J$247='W10'!K$247,"("&amp;ROUND('W10'!J259+'W10'!K259,2)&amp;")"&amp;ROUND('W10'!J$247*100,2),"("&amp;ROUND('W10'!J259,2)&amp;")"&amp;ROUND('W10'!J$247*100,2)&amp;"/ ("&amp;ROUND('W10'!K259,2)&amp;")"&amp;ROUND('W10'!K$247*100,2))))</f>
        <v>n/a</v>
      </c>
    </row>
    <row r="15" spans="1:25" hidden="1" x14ac:dyDescent="0.25">
      <c r="A15" s="129">
        <f>'R10'!A20</f>
        <v>13</v>
      </c>
      <c r="B15" s="124">
        <f>'R10'!B20</f>
        <v>0</v>
      </c>
      <c r="C15" s="124"/>
      <c r="D15" s="125"/>
      <c r="E15" s="267" t="s">
        <v>180</v>
      </c>
      <c r="F15" s="255"/>
      <c r="G15" s="100">
        <f ca="1">IF(AND($L15="Yes",'R10'!$L20=9),'W10'!B366,IF(AND($L15="Yes",'R10'!$L20=11),'W10'!B392,IF(OR($L15="No",'R10'!L20=12),'W10'!B340)))</f>
        <v>0</v>
      </c>
      <c r="H15" s="100">
        <f ca="1">IF(AND($L15="Yes",'R10'!$L20=9),'W10'!D366,IF(AND($L15="Yes",'R10'!$L20=11),'W10'!D392,IF(OR($L15="No",'R10'!L20=12),'W10'!D340)))</f>
        <v>0</v>
      </c>
      <c r="I15" s="100">
        <f ca="1">IF(AND($L15="Yes",'R10'!$L20=9),'W10'!F366,IF(AND($L15="Yes",'R10'!$L20=11),'W10'!F392,IF(OR($L15="No",'R10'!L20=12),'W10'!F340)))</f>
        <v>0</v>
      </c>
      <c r="J15" s="100">
        <f ca="1">IF(AND($L15="Yes",'R10'!$L20=9),'W10'!H366,IF(AND($L15="Yes",'R10'!$L20=11),'W10'!H392,IF(OR($L15="No",'R10'!L20=12),'W10'!H340)))</f>
        <v>0</v>
      </c>
      <c r="K15" s="100">
        <f ca="1">IF(AND($L15="Yes",'R10'!$L20=9),'W10'!J366,IF(AND($L15="Yes",'R10'!$L20=11),'W10'!J392,IF(OR($L15="No",'R10'!L20=12),'W10'!J340)))</f>
        <v>0</v>
      </c>
      <c r="L15" s="245" t="s">
        <v>150</v>
      </c>
      <c r="M15" s="255"/>
      <c r="N15" s="128">
        <f ca="1">IF(G15=0,0,IF(G15="",0,'R10'!N20/(G15/'R10'!$L20)))</f>
        <v>0</v>
      </c>
      <c r="O15" s="128">
        <f ca="1">IF(H15=0,0,IF(H15="",0,'R10'!O20/(H15/'R10'!$L20)))</f>
        <v>0</v>
      </c>
      <c r="P15" s="128">
        <f ca="1">IF(I15=0,0,IF(I15="",0,'R10'!P20/(I15/'R10'!$L20)))</f>
        <v>0</v>
      </c>
      <c r="Q15" s="128">
        <f ca="1">IF(J15=0,0,IF(J15="",0,'R10'!Q20/(J15/'R10'!$L20)))</f>
        <v>0</v>
      </c>
      <c r="R15" s="128">
        <f ca="1">IF(K15=0,0,IF(K15="",0,'R10'!R20/(K15/'R10'!$L20)))</f>
        <v>0</v>
      </c>
      <c r="S15" s="51" t="str">
        <f>IF('R10'!K20="","CAL",'R10'!K20)</f>
        <v>CAL</v>
      </c>
      <c r="T15" s="255"/>
      <c r="U15" s="51" t="str">
        <f ca="1">IF(G15="","",IF('W10'!$L230="D","n/a",IF('W10'!B$247='W10'!C$247,"("&amp;ROUND('W10'!B260+'W10'!C260,2)&amp;")"&amp;ROUND('W10'!B$247*100,2),"("&amp;ROUND('W10'!B260,2)&amp;")"&amp;ROUND('W10'!B$247*100,2)&amp;"/ ("&amp;ROUND('W10'!C260,2)&amp;")"&amp;ROUND('W10'!C$247*100,2))))</f>
        <v>n/a</v>
      </c>
      <c r="V15" s="51" t="str">
        <f ca="1">IF(H15="","",IF('W10'!$L230="D","n/a",IF('W10'!D$247='W10'!E$247,"("&amp;ROUND('W10'!D260+'W10'!E260,2)&amp;")"&amp;ROUND('W10'!D$247*100,2),"("&amp;ROUND('W10'!D260,2)&amp;")"&amp;ROUND('W10'!D$247*100,2)&amp;"/ ("&amp;ROUND('W10'!E260,2)&amp;")"&amp;ROUND('W10'!E$247*100,2))))</f>
        <v>n/a</v>
      </c>
      <c r="W15" s="51" t="str">
        <f ca="1">IF(I15="","",IF('W10'!$L230="D","n/a",IF('W10'!F$247='W10'!G$247,"("&amp;ROUND('W10'!F260+'W10'!G260,2)&amp;")"&amp;ROUND('W10'!F$247*100,2),"("&amp;ROUND('W10'!F260,2)&amp;")"&amp;ROUND('W10'!F$247*100,2)&amp;"/ ("&amp;ROUND('W10'!G260,2)&amp;")"&amp;ROUND('W10'!G$247*100,2))))</f>
        <v>n/a</v>
      </c>
      <c r="X15" s="51" t="str">
        <f ca="1">IF(J15="","",IF('W10'!$L230="D","n/a",IF('W10'!H$247='W10'!I$247,"("&amp;ROUND('W10'!H260+'W10'!I260,2)&amp;")"&amp;ROUND('W10'!H$247*100,2),"("&amp;ROUND('W10'!H260,2)&amp;")"&amp;ROUND('W10'!H$247*100,2)&amp;"/ ("&amp;ROUND('W10'!I260,2)&amp;")"&amp;ROUND('W10'!I$247*100,2))))</f>
        <v>n/a</v>
      </c>
      <c r="Y15" s="51" t="str">
        <f ca="1">IF(K15="","",IF('W10'!$L230="D","n/a",IF('W10'!J$247='W10'!K$247,"("&amp;ROUND('W10'!J260+'W10'!K260,2)&amp;")"&amp;ROUND('W10'!J$247*100,2),"("&amp;ROUND('W10'!J260,2)&amp;")"&amp;ROUND('W10'!J$247*100,2)&amp;"/ ("&amp;ROUND('W10'!K260,2)&amp;")"&amp;ROUND('W10'!K$247*100,2))))</f>
        <v>n/a</v>
      </c>
    </row>
    <row r="16" spans="1:25" hidden="1" x14ac:dyDescent="0.25">
      <c r="A16" s="129">
        <f>'R10'!A21</f>
        <v>14</v>
      </c>
      <c r="B16" s="124">
        <f>'R10'!B21</f>
        <v>0</v>
      </c>
      <c r="C16" s="124"/>
      <c r="D16" s="125"/>
      <c r="E16" s="267" t="s">
        <v>180</v>
      </c>
      <c r="F16" s="255"/>
      <c r="G16" s="100">
        <f ca="1">IF(AND($L16="Yes",'R10'!$L21=9),'W10'!B367,IF(AND($L16="Yes",'R10'!$L21=11),'W10'!B393,IF(OR($L16="No",'R10'!L21=12),'W10'!B341)))</f>
        <v>0</v>
      </c>
      <c r="H16" s="100">
        <f ca="1">IF(AND($L16="Yes",'R10'!$L21=9),'W10'!D367,IF(AND($L16="Yes",'R10'!$L21=11),'W10'!D393,IF(OR($L16="No",'R10'!L21=12),'W10'!D341)))</f>
        <v>0</v>
      </c>
      <c r="I16" s="100">
        <f ca="1">IF(AND($L16="Yes",'R10'!$L21=9),'W10'!F367,IF(AND($L16="Yes",'R10'!$L21=11),'W10'!F393,IF(OR($L16="No",'R10'!L21=12),'W10'!F341)))</f>
        <v>0</v>
      </c>
      <c r="J16" s="100">
        <f ca="1">IF(AND($L16="Yes",'R10'!$L21=9),'W10'!H367,IF(AND($L16="Yes",'R10'!$L21=11),'W10'!H393,IF(OR($L16="No",'R10'!L21=12),'W10'!H341)))</f>
        <v>0</v>
      </c>
      <c r="K16" s="100">
        <f ca="1">IF(AND($L16="Yes",'R10'!$L21=9),'W10'!J367,IF(AND($L16="Yes",'R10'!$L21=11),'W10'!J393,IF(OR($L16="No",'R10'!L21=12),'W10'!J341)))</f>
        <v>0</v>
      </c>
      <c r="L16" s="245" t="s">
        <v>150</v>
      </c>
      <c r="M16" s="255"/>
      <c r="N16" s="128">
        <f ca="1">IF(G16=0,0,IF(G16="",0,'R10'!N21/(G16/'R10'!$L21)))</f>
        <v>0</v>
      </c>
      <c r="O16" s="128">
        <f ca="1">IF(H16=0,0,IF(H16="",0,'R10'!O21/(H16/'R10'!$L21)))</f>
        <v>0</v>
      </c>
      <c r="P16" s="128">
        <f ca="1">IF(I16=0,0,IF(I16="",0,'R10'!P21/(I16/'R10'!$L21)))</f>
        <v>0</v>
      </c>
      <c r="Q16" s="128">
        <f ca="1">IF(J16=0,0,IF(J16="",0,'R10'!Q21/(J16/'R10'!$L21)))</f>
        <v>0</v>
      </c>
      <c r="R16" s="128">
        <f ca="1">IF(K16=0,0,IF(K16="",0,'R10'!R21/(K16/'R10'!$L21)))</f>
        <v>0</v>
      </c>
      <c r="S16" s="51" t="str">
        <f>IF('R10'!K21="","CAL",'R10'!K21)</f>
        <v>CAL</v>
      </c>
      <c r="T16" s="255"/>
      <c r="U16" s="51" t="str">
        <f ca="1">IF(G16="","",IF('W10'!$L231="D","n/a",IF('W10'!B$247='W10'!C$247,"("&amp;ROUND('W10'!B261+'W10'!C261,2)&amp;")"&amp;ROUND('W10'!B$247*100,2),"("&amp;ROUND('W10'!B261,2)&amp;")"&amp;ROUND('W10'!B$247*100,2)&amp;"/ ("&amp;ROUND('W10'!C261,2)&amp;")"&amp;ROUND('W10'!C$247*100,2))))</f>
        <v>n/a</v>
      </c>
      <c r="V16" s="51" t="str">
        <f ca="1">IF(H16="","",IF('W10'!$L231="D","n/a",IF('W10'!D$247='W10'!E$247,"("&amp;ROUND('W10'!D261+'W10'!E261,2)&amp;")"&amp;ROUND('W10'!D$247*100,2),"("&amp;ROUND('W10'!D261,2)&amp;")"&amp;ROUND('W10'!D$247*100,2)&amp;"/ ("&amp;ROUND('W10'!E261,2)&amp;")"&amp;ROUND('W10'!E$247*100,2))))</f>
        <v>n/a</v>
      </c>
      <c r="W16" s="51" t="str">
        <f ca="1">IF(I16="","",IF('W10'!$L231="D","n/a",IF('W10'!F$247='W10'!G$247,"("&amp;ROUND('W10'!F261+'W10'!G261,2)&amp;")"&amp;ROUND('W10'!F$247*100,2),"("&amp;ROUND('W10'!F261,2)&amp;")"&amp;ROUND('W10'!F$247*100,2)&amp;"/ ("&amp;ROUND('W10'!G261,2)&amp;")"&amp;ROUND('W10'!G$247*100,2))))</f>
        <v>n/a</v>
      </c>
      <c r="X16" s="51" t="str">
        <f ca="1">IF(J16="","",IF('W10'!$L231="D","n/a",IF('W10'!H$247='W10'!I$247,"("&amp;ROUND('W10'!H261+'W10'!I261,2)&amp;")"&amp;ROUND('W10'!H$247*100,2),"("&amp;ROUND('W10'!H261,2)&amp;")"&amp;ROUND('W10'!H$247*100,2)&amp;"/ ("&amp;ROUND('W10'!I261,2)&amp;")"&amp;ROUND('W10'!I$247*100,2))))</f>
        <v>n/a</v>
      </c>
      <c r="Y16" s="51" t="str">
        <f ca="1">IF(K16="","",IF('W10'!$L231="D","n/a",IF('W10'!J$247='W10'!K$247,"("&amp;ROUND('W10'!J261+'W10'!K261,2)&amp;")"&amp;ROUND('W10'!J$247*100,2),"("&amp;ROUND('W10'!J261,2)&amp;")"&amp;ROUND('W10'!J$247*100,2)&amp;"/ ("&amp;ROUND('W10'!K261,2)&amp;")"&amp;ROUND('W10'!K$247*100,2))))</f>
        <v>n/a</v>
      </c>
    </row>
    <row r="17" spans="1:25" hidden="1" x14ac:dyDescent="0.25">
      <c r="A17" s="129">
        <f>'R10'!A22</f>
        <v>15</v>
      </c>
      <c r="B17" s="124">
        <f>'R10'!B22</f>
        <v>0</v>
      </c>
      <c r="C17" s="124"/>
      <c r="D17" s="125"/>
      <c r="E17" s="267" t="s">
        <v>180</v>
      </c>
      <c r="F17" s="255"/>
      <c r="G17" s="100">
        <f ca="1">IF(AND($L17="Yes",'R10'!$L22=9),'W10'!B368,IF(AND($L17="Yes",'R10'!$L22=11),'W10'!B394,IF(OR($L17="No",'R10'!L22=12),'W10'!B342)))</f>
        <v>0</v>
      </c>
      <c r="H17" s="100">
        <f ca="1">IF(AND($L17="Yes",'R10'!$L22=9),'W10'!D368,IF(AND($L17="Yes",'R10'!$L22=11),'W10'!D394,IF(OR($L17="No",'R10'!L22=12),'W10'!D342)))</f>
        <v>0</v>
      </c>
      <c r="I17" s="100">
        <f ca="1">IF(AND($L17="Yes",'R10'!$L22=9),'W10'!F368,IF(AND($L17="Yes",'R10'!$L22=11),'W10'!F394,IF(OR($L17="No",'R10'!L22=12),'W10'!F342)))</f>
        <v>0</v>
      </c>
      <c r="J17" s="100">
        <f ca="1">IF(AND($L17="Yes",'R10'!$L22=9),'W10'!H368,IF(AND($L17="Yes",'R10'!$L22=11),'W10'!H394,IF(OR($L17="No",'R10'!L22=12),'W10'!H342)))</f>
        <v>0</v>
      </c>
      <c r="K17" s="100">
        <f ca="1">IF(AND($L17="Yes",'R10'!$L22=9),'W10'!J368,IF(AND($L17="Yes",'R10'!$L22=11),'W10'!J394,IF(OR($L17="No",'R10'!L22=12),'W10'!J342)))</f>
        <v>0</v>
      </c>
      <c r="L17" s="245" t="s">
        <v>150</v>
      </c>
      <c r="M17" s="255"/>
      <c r="N17" s="128">
        <f ca="1">IF(G17=0,0,IF(G17="",0,'R10'!N22/(G17/'R10'!$L22)))</f>
        <v>0</v>
      </c>
      <c r="O17" s="128">
        <f ca="1">IF(H17=0,0,IF(H17="",0,'R10'!O22/(H17/'R10'!$L22)))</f>
        <v>0</v>
      </c>
      <c r="P17" s="128">
        <f ca="1">IF(I17=0,0,IF(I17="",0,'R10'!P22/(I17/'R10'!$L22)))</f>
        <v>0</v>
      </c>
      <c r="Q17" s="128">
        <f ca="1">IF(J17=0,0,IF(J17="",0,'R10'!Q22/(J17/'R10'!$L22)))</f>
        <v>0</v>
      </c>
      <c r="R17" s="128">
        <f ca="1">IF(K17=0,0,IF(K17="",0,'R10'!R22/(K17/'R10'!$L22)))</f>
        <v>0</v>
      </c>
      <c r="S17" s="51" t="str">
        <f>IF('R10'!K22="","CAL",'R10'!K22)</f>
        <v>CAL</v>
      </c>
      <c r="T17" s="255"/>
      <c r="U17" s="51" t="str">
        <f ca="1">IF(G17="","",IF('W10'!$L232="D","n/a",IF('W10'!B$247='W10'!C$247,"("&amp;ROUND('W10'!B262+'W10'!C262,2)&amp;")"&amp;ROUND('W10'!B$247*100,2),"("&amp;ROUND('W10'!B262,2)&amp;")"&amp;ROUND('W10'!B$247*100,2)&amp;"/ ("&amp;ROUND('W10'!C262,2)&amp;")"&amp;ROUND('W10'!C$247*100,2))))</f>
        <v>n/a</v>
      </c>
      <c r="V17" s="51" t="str">
        <f ca="1">IF(H17="","",IF('W10'!$L232="D","n/a",IF('W10'!D$247='W10'!E$247,"("&amp;ROUND('W10'!D262+'W10'!E262,2)&amp;")"&amp;ROUND('W10'!D$247*100,2),"("&amp;ROUND('W10'!D262,2)&amp;")"&amp;ROUND('W10'!D$247*100,2)&amp;"/ ("&amp;ROUND('W10'!E262,2)&amp;")"&amp;ROUND('W10'!E$247*100,2))))</f>
        <v>n/a</v>
      </c>
      <c r="W17" s="51" t="str">
        <f ca="1">IF(I17="","",IF('W10'!$L232="D","n/a",IF('W10'!F$247='W10'!G$247,"("&amp;ROUND('W10'!F262+'W10'!G262,2)&amp;")"&amp;ROUND('W10'!F$247*100,2),"("&amp;ROUND('W10'!F262,2)&amp;")"&amp;ROUND('W10'!F$247*100,2)&amp;"/ ("&amp;ROUND('W10'!G262,2)&amp;")"&amp;ROUND('W10'!G$247*100,2))))</f>
        <v>n/a</v>
      </c>
      <c r="X17" s="51" t="str">
        <f ca="1">IF(J17="","",IF('W10'!$L232="D","n/a",IF('W10'!H$247='W10'!I$247,"("&amp;ROUND('W10'!H262+'W10'!I262,2)&amp;")"&amp;ROUND('W10'!H$247*100,2),"("&amp;ROUND('W10'!H262,2)&amp;")"&amp;ROUND('W10'!H$247*100,2)&amp;"/ ("&amp;ROUND('W10'!I262,2)&amp;")"&amp;ROUND('W10'!I$247*100,2))))</f>
        <v>n/a</v>
      </c>
      <c r="Y17" s="51" t="str">
        <f ca="1">IF(K17="","",IF('W10'!$L232="D","n/a",IF('W10'!J$247='W10'!K$247,"("&amp;ROUND('W10'!J262+'W10'!K262,2)&amp;")"&amp;ROUND('W10'!J$247*100,2),"("&amp;ROUND('W10'!J262,2)&amp;")"&amp;ROUND('W10'!J$247*100,2)&amp;"/ ("&amp;ROUND('W10'!K262,2)&amp;")"&amp;ROUND('W10'!K$247*100,2))))</f>
        <v>n/a</v>
      </c>
    </row>
    <row r="18" spans="1:25" hidden="1" x14ac:dyDescent="0.25">
      <c r="A18" s="129">
        <f>'R10'!A23</f>
        <v>16</v>
      </c>
      <c r="B18" s="124">
        <f>'R10'!B23</f>
        <v>0</v>
      </c>
      <c r="C18" s="124"/>
      <c r="D18" s="125"/>
      <c r="E18" s="267" t="s">
        <v>180</v>
      </c>
      <c r="F18" s="255"/>
      <c r="G18" s="100">
        <f ca="1">IF(AND($L18="Yes",'R10'!$L23=9),'W10'!B369,IF(AND($L18="Yes",'R10'!$L23=11),'W10'!B395,IF(OR($L18="No",'R10'!L23=12),'W10'!B343)))</f>
        <v>0</v>
      </c>
      <c r="H18" s="100">
        <f ca="1">IF(AND($L18="Yes",'R10'!$L23=9),'W10'!D369,IF(AND($L18="Yes",'R10'!$L23=11),'W10'!D395,IF(OR($L18="No",'R10'!L23=12),'W10'!D343)))</f>
        <v>0</v>
      </c>
      <c r="I18" s="100">
        <f ca="1">IF(AND($L18="Yes",'R10'!$L23=9),'W10'!F369,IF(AND($L18="Yes",'R10'!$L23=11),'W10'!F395,IF(OR($L18="No",'R10'!L23=12),'W10'!F343)))</f>
        <v>0</v>
      </c>
      <c r="J18" s="100">
        <f ca="1">IF(AND($L18="Yes",'R10'!$L23=9),'W10'!H369,IF(AND($L18="Yes",'R10'!$L23=11),'W10'!H395,IF(OR($L18="No",'R10'!L23=12),'W10'!H343)))</f>
        <v>0</v>
      </c>
      <c r="K18" s="100">
        <f ca="1">IF(AND($L18="Yes",'R10'!$L23=9),'W10'!J369,IF(AND($L18="Yes",'R10'!$L23=11),'W10'!J395,IF(OR($L18="No",'R10'!L23=12),'W10'!J343)))</f>
        <v>0</v>
      </c>
      <c r="L18" s="245" t="s">
        <v>150</v>
      </c>
      <c r="M18" s="255"/>
      <c r="N18" s="128">
        <f ca="1">IF(G18=0,0,IF(G18="",0,'R10'!N23/(G18/'R10'!$L23)))</f>
        <v>0</v>
      </c>
      <c r="O18" s="128">
        <f ca="1">IF(H18=0,0,IF(H18="",0,'R10'!O23/(H18/'R10'!$L23)))</f>
        <v>0</v>
      </c>
      <c r="P18" s="128">
        <f ca="1">IF(I18=0,0,IF(I18="",0,'R10'!P23/(I18/'R10'!$L23)))</f>
        <v>0</v>
      </c>
      <c r="Q18" s="128">
        <f ca="1">IF(J18=0,0,IF(J18="",0,'R10'!Q23/(J18/'R10'!$L23)))</f>
        <v>0</v>
      </c>
      <c r="R18" s="128">
        <f ca="1">IF(K18=0,0,IF(K18="",0,'R10'!R23/(K18/'R10'!$L23)))</f>
        <v>0</v>
      </c>
      <c r="S18" s="51" t="str">
        <f>IF('R10'!K23="","CAL",'R10'!K23)</f>
        <v>CAL</v>
      </c>
      <c r="T18" s="255"/>
      <c r="U18" s="51" t="str">
        <f ca="1">IF(G18="","",IF('W10'!$L233="D","n/a",IF('W10'!B$247='W10'!C$247,"("&amp;ROUND('W10'!B263+'W10'!C263,2)&amp;")"&amp;ROUND('W10'!B$247*100,2),"("&amp;ROUND('W10'!B263,2)&amp;")"&amp;ROUND('W10'!B$247*100,2)&amp;"/ ("&amp;ROUND('W10'!C263,2)&amp;")"&amp;ROUND('W10'!C$247*100,2))))</f>
        <v>n/a</v>
      </c>
      <c r="V18" s="51" t="str">
        <f ca="1">IF(H18="","",IF('W10'!$L233="D","n/a",IF('W10'!D$247='W10'!E$247,"("&amp;ROUND('W10'!D263+'W10'!E263,2)&amp;")"&amp;ROUND('W10'!D$247*100,2),"("&amp;ROUND('W10'!D263,2)&amp;")"&amp;ROUND('W10'!D$247*100,2)&amp;"/ ("&amp;ROUND('W10'!E263,2)&amp;")"&amp;ROUND('W10'!E$247*100,2))))</f>
        <v>n/a</v>
      </c>
      <c r="W18" s="51" t="str">
        <f ca="1">IF(I18="","",IF('W10'!$L233="D","n/a",IF('W10'!F$247='W10'!G$247,"("&amp;ROUND('W10'!F263+'W10'!G263,2)&amp;")"&amp;ROUND('W10'!F$247*100,2),"("&amp;ROUND('W10'!F263,2)&amp;")"&amp;ROUND('W10'!F$247*100,2)&amp;"/ ("&amp;ROUND('W10'!G263,2)&amp;")"&amp;ROUND('W10'!G$247*100,2))))</f>
        <v>n/a</v>
      </c>
      <c r="X18" s="51" t="str">
        <f ca="1">IF(J18="","",IF('W10'!$L233="D","n/a",IF('W10'!H$247='W10'!I$247,"("&amp;ROUND('W10'!H263+'W10'!I263,2)&amp;")"&amp;ROUND('W10'!H$247*100,2),"("&amp;ROUND('W10'!H263,2)&amp;")"&amp;ROUND('W10'!H$247*100,2)&amp;"/ ("&amp;ROUND('W10'!I263,2)&amp;")"&amp;ROUND('W10'!I$247*100,2))))</f>
        <v>n/a</v>
      </c>
      <c r="Y18" s="51" t="str">
        <f ca="1">IF(K18="","",IF('W10'!$L233="D","n/a",IF('W10'!J$247='W10'!K$247,"("&amp;ROUND('W10'!J263+'W10'!K263,2)&amp;")"&amp;ROUND('W10'!J$247*100,2),"("&amp;ROUND('W10'!J263,2)&amp;")"&amp;ROUND('W10'!J$247*100,2)&amp;"/ ("&amp;ROUND('W10'!K263,2)&amp;")"&amp;ROUND('W10'!K$247*100,2))))</f>
        <v>n/a</v>
      </c>
    </row>
    <row r="19" spans="1:25" hidden="1" x14ac:dyDescent="0.25">
      <c r="A19" s="129">
        <f>'R10'!A24</f>
        <v>17</v>
      </c>
      <c r="B19" s="124">
        <f>'R10'!B24</f>
        <v>0</v>
      </c>
      <c r="C19" s="124"/>
      <c r="D19" s="125"/>
      <c r="E19" s="267" t="s">
        <v>180</v>
      </c>
      <c r="F19" s="255"/>
      <c r="G19" s="100">
        <f ca="1">IF(AND($L19="Yes",'R10'!$L24=9),'W10'!B370,IF(AND($L19="Yes",'R10'!$L24=11),'W10'!B396,IF(OR($L19="No",'R10'!L24=12),'W10'!B344)))</f>
        <v>0</v>
      </c>
      <c r="H19" s="100">
        <f ca="1">IF(AND($L19="Yes",'R10'!$L24=9),'W10'!D370,IF(AND($L19="Yes",'R10'!$L24=11),'W10'!D396,IF(OR($L19="No",'R10'!L24=12),'W10'!D344)))</f>
        <v>0</v>
      </c>
      <c r="I19" s="100">
        <f ca="1">IF(AND($L19="Yes",'R10'!$L24=9),'W10'!F370,IF(AND($L19="Yes",'R10'!$L24=11),'W10'!F396,IF(OR($L19="No",'R10'!L24=12),'W10'!F344)))</f>
        <v>0</v>
      </c>
      <c r="J19" s="100">
        <f ca="1">IF(AND($L19="Yes",'R10'!$L24=9),'W10'!H370,IF(AND($L19="Yes",'R10'!$L24=11),'W10'!H396,IF(OR($L19="No",'R10'!L24=12),'W10'!H344)))</f>
        <v>0</v>
      </c>
      <c r="K19" s="100">
        <f ca="1">IF(AND($L19="Yes",'R10'!$L24=9),'W10'!J370,IF(AND($L19="Yes",'R10'!$L24=11),'W10'!J396,IF(OR($L19="No",'R10'!L24=12),'W10'!J344)))</f>
        <v>0</v>
      </c>
      <c r="L19" s="245" t="s">
        <v>150</v>
      </c>
      <c r="M19" s="255"/>
      <c r="N19" s="128">
        <f ca="1">IF(G19=0,0,IF(G19="",0,'R10'!N24/(G19/'R10'!$L24)))</f>
        <v>0</v>
      </c>
      <c r="O19" s="128">
        <f ca="1">IF(H19=0,0,IF(H19="",0,'R10'!O24/(H19/'R10'!$L24)))</f>
        <v>0</v>
      </c>
      <c r="P19" s="128">
        <f ca="1">IF(I19=0,0,IF(I19="",0,'R10'!P24/(I19/'R10'!$L24)))</f>
        <v>0</v>
      </c>
      <c r="Q19" s="128">
        <f ca="1">IF(J19=0,0,IF(J19="",0,'R10'!Q24/(J19/'R10'!$L24)))</f>
        <v>0</v>
      </c>
      <c r="R19" s="128">
        <f ca="1">IF(K19=0,0,IF(K19="",0,'R10'!R24/(K19/'R10'!$L24)))</f>
        <v>0</v>
      </c>
      <c r="S19" s="51" t="str">
        <f>IF('R10'!K24="","CAL",'R10'!K24)</f>
        <v>CAL</v>
      </c>
      <c r="T19" s="255"/>
      <c r="U19" s="51" t="str">
        <f ca="1">IF(G19="","",IF('W10'!$L234="D","n/a",IF('W10'!B$247='W10'!C$247,"("&amp;ROUND('W10'!B264+'W10'!C264,2)&amp;")"&amp;ROUND('W10'!B$247*100,2),"("&amp;ROUND('W10'!B264,2)&amp;")"&amp;ROUND('W10'!B$247*100,2)&amp;"/ ("&amp;ROUND('W10'!C264,2)&amp;")"&amp;ROUND('W10'!C$247*100,2))))</f>
        <v>n/a</v>
      </c>
      <c r="V19" s="51" t="str">
        <f ca="1">IF(H19="","",IF('W10'!$L234="D","n/a",IF('W10'!D$247='W10'!E$247,"("&amp;ROUND('W10'!D264+'W10'!E264,2)&amp;")"&amp;ROUND('W10'!D$247*100,2),"("&amp;ROUND('W10'!D264,2)&amp;")"&amp;ROUND('W10'!D$247*100,2)&amp;"/ ("&amp;ROUND('W10'!E264,2)&amp;")"&amp;ROUND('W10'!E$247*100,2))))</f>
        <v>n/a</v>
      </c>
      <c r="W19" s="51" t="str">
        <f ca="1">IF(I19="","",IF('W10'!$L234="D","n/a",IF('W10'!F$247='W10'!G$247,"("&amp;ROUND('W10'!F264+'W10'!G264,2)&amp;")"&amp;ROUND('W10'!F$247*100,2),"("&amp;ROUND('W10'!F264,2)&amp;")"&amp;ROUND('W10'!F$247*100,2)&amp;"/ ("&amp;ROUND('W10'!G264,2)&amp;")"&amp;ROUND('W10'!G$247*100,2))))</f>
        <v>n/a</v>
      </c>
      <c r="X19" s="51" t="str">
        <f ca="1">IF(J19="","",IF('W10'!$L234="D","n/a",IF('W10'!H$247='W10'!I$247,"("&amp;ROUND('W10'!H264+'W10'!I264,2)&amp;")"&amp;ROUND('W10'!H$247*100,2),"("&amp;ROUND('W10'!H264,2)&amp;")"&amp;ROUND('W10'!H$247*100,2)&amp;"/ ("&amp;ROUND('W10'!I264,2)&amp;")"&amp;ROUND('W10'!I$247*100,2))))</f>
        <v>n/a</v>
      </c>
      <c r="Y19" s="51" t="str">
        <f ca="1">IF(K19="","",IF('W10'!$L234="D","n/a",IF('W10'!J$247='W10'!K$247,"("&amp;ROUND('W10'!J264+'W10'!K264,2)&amp;")"&amp;ROUND('W10'!J$247*100,2),"("&amp;ROUND('W10'!J264,2)&amp;")"&amp;ROUND('W10'!J$247*100,2)&amp;"/ ("&amp;ROUND('W10'!K264,2)&amp;")"&amp;ROUND('W10'!K$247*100,2))))</f>
        <v>n/a</v>
      </c>
    </row>
    <row r="20" spans="1:25" hidden="1" x14ac:dyDescent="0.25">
      <c r="A20" s="129">
        <f>'R10'!A25</f>
        <v>18</v>
      </c>
      <c r="B20" s="124">
        <f>'R10'!B25</f>
        <v>0</v>
      </c>
      <c r="C20" s="124"/>
      <c r="D20" s="125"/>
      <c r="E20" s="267" t="s">
        <v>180</v>
      </c>
      <c r="F20" s="255"/>
      <c r="G20" s="100">
        <f ca="1">IF(AND($L20="Yes",'R10'!$L25=9),'W10'!B371,IF(AND($L20="Yes",'R10'!$L25=11),'W10'!B397,IF(OR($L20="No",'R10'!L25=12),'W10'!B345)))</f>
        <v>0</v>
      </c>
      <c r="H20" s="100">
        <f ca="1">IF(AND($L20="Yes",'R10'!$L25=9),'W10'!D371,IF(AND($L20="Yes",'R10'!$L25=11),'W10'!D397,IF(OR($L20="No",'R10'!L25=12),'W10'!D345)))</f>
        <v>0</v>
      </c>
      <c r="I20" s="100">
        <f ca="1">IF(AND($L20="Yes",'R10'!$L25=9),'W10'!F371,IF(AND($L20="Yes",'R10'!$L25=11),'W10'!F397,IF(OR($L20="No",'R10'!L25=12),'W10'!F345)))</f>
        <v>0</v>
      </c>
      <c r="J20" s="100">
        <f ca="1">IF(AND($L20="Yes",'R10'!$L25=9),'W10'!H371,IF(AND($L20="Yes",'R10'!$L25=11),'W10'!H397,IF(OR($L20="No",'R10'!L25=12),'W10'!H345)))</f>
        <v>0</v>
      </c>
      <c r="K20" s="100">
        <f ca="1">IF(AND($L20="Yes",'R10'!$L25=9),'W10'!J371,IF(AND($L20="Yes",'R10'!$L25=11),'W10'!J397,IF(OR($L20="No",'R10'!L25=12),'W10'!J345)))</f>
        <v>0</v>
      </c>
      <c r="L20" s="245" t="s">
        <v>150</v>
      </c>
      <c r="M20" s="255"/>
      <c r="N20" s="128">
        <f ca="1">IF(G20=0,0,IF(G20="",0,'R10'!N25/(G20/'R10'!$L25)))</f>
        <v>0</v>
      </c>
      <c r="O20" s="128">
        <f ca="1">IF(H20=0,0,IF(H20="",0,'R10'!O25/(H20/'R10'!$L25)))</f>
        <v>0</v>
      </c>
      <c r="P20" s="128">
        <f ca="1">IF(I20=0,0,IF(I20="",0,'R10'!P25/(I20/'R10'!$L25)))</f>
        <v>0</v>
      </c>
      <c r="Q20" s="128">
        <f ca="1">IF(J20=0,0,IF(J20="",0,'R10'!Q25/(J20/'R10'!$L25)))</f>
        <v>0</v>
      </c>
      <c r="R20" s="128">
        <f ca="1">IF(K20=0,0,IF(K20="",0,'R10'!R25/(K20/'R10'!$L25)))</f>
        <v>0</v>
      </c>
      <c r="S20" s="51" t="str">
        <f>IF('R10'!K25="","CAL",'R10'!K25)</f>
        <v>CAL</v>
      </c>
      <c r="T20" s="255"/>
      <c r="U20" s="51" t="str">
        <f ca="1">IF(G20="","",IF('W10'!$L235="D","n/a",IF('W10'!B$247='W10'!C$247,"("&amp;ROUND('W10'!B265+'W10'!C265,2)&amp;")"&amp;ROUND('W10'!B$247*100,2),"("&amp;ROUND('W10'!B265,2)&amp;")"&amp;ROUND('W10'!B$247*100,2)&amp;"/ ("&amp;ROUND('W10'!C265,2)&amp;")"&amp;ROUND('W10'!C$247*100,2))))</f>
        <v>n/a</v>
      </c>
      <c r="V20" s="51" t="str">
        <f ca="1">IF(H20="","",IF('W10'!$L235="D","n/a",IF('W10'!D$247='W10'!E$247,"("&amp;ROUND('W10'!D265+'W10'!E265,2)&amp;")"&amp;ROUND('W10'!D$247*100,2),"("&amp;ROUND('W10'!D265,2)&amp;")"&amp;ROUND('W10'!D$247*100,2)&amp;"/ ("&amp;ROUND('W10'!E265,2)&amp;")"&amp;ROUND('W10'!E$247*100,2))))</f>
        <v>n/a</v>
      </c>
      <c r="W20" s="51" t="str">
        <f ca="1">IF(I20="","",IF('W10'!$L235="D","n/a",IF('W10'!F$247='W10'!G$247,"("&amp;ROUND('W10'!F265+'W10'!G265,2)&amp;")"&amp;ROUND('W10'!F$247*100,2),"("&amp;ROUND('W10'!F265,2)&amp;")"&amp;ROUND('W10'!F$247*100,2)&amp;"/ ("&amp;ROUND('W10'!G265,2)&amp;")"&amp;ROUND('W10'!G$247*100,2))))</f>
        <v>n/a</v>
      </c>
      <c r="X20" s="51" t="str">
        <f ca="1">IF(J20="","",IF('W10'!$L235="D","n/a",IF('W10'!H$247='W10'!I$247,"("&amp;ROUND('W10'!H265+'W10'!I265,2)&amp;")"&amp;ROUND('W10'!H$247*100,2),"("&amp;ROUND('W10'!H265,2)&amp;")"&amp;ROUND('W10'!H$247*100,2)&amp;"/ ("&amp;ROUND('W10'!I265,2)&amp;")"&amp;ROUND('W10'!I$247*100,2))))</f>
        <v>n/a</v>
      </c>
      <c r="Y20" s="51" t="str">
        <f ca="1">IF(K20="","",IF('W10'!$L235="D","n/a",IF('W10'!J$247='W10'!K$247,"("&amp;ROUND('W10'!J265+'W10'!K265,2)&amp;")"&amp;ROUND('W10'!J$247*100,2),"("&amp;ROUND('W10'!J265,2)&amp;")"&amp;ROUND('W10'!J$247*100,2)&amp;"/ ("&amp;ROUND('W10'!K265,2)&amp;")"&amp;ROUND('W10'!K$247*100,2))))</f>
        <v>n/a</v>
      </c>
    </row>
    <row r="21" spans="1:25" hidden="1" x14ac:dyDescent="0.25">
      <c r="A21" s="129">
        <f>'R10'!A26</f>
        <v>19</v>
      </c>
      <c r="B21" s="124">
        <f>'R10'!B26</f>
        <v>0</v>
      </c>
      <c r="C21" s="124"/>
      <c r="D21" s="125"/>
      <c r="E21" s="267" t="s">
        <v>180</v>
      </c>
      <c r="F21" s="255"/>
      <c r="G21" s="100">
        <f ca="1">IF(AND($L21="Yes",'R10'!$L26=9),'W10'!B372,IF(AND($L21="Yes",'R10'!$L26=11),'W10'!B398,IF(OR($L21="No",'R10'!L26=12),'W10'!B346)))</f>
        <v>0</v>
      </c>
      <c r="H21" s="100">
        <f ca="1">IF(AND($L21="Yes",'R10'!$L26=9),'W10'!D372,IF(AND($L21="Yes",'R10'!$L26=11),'W10'!D398,IF(OR($L21="No",'R10'!L26=12),'W10'!D346)))</f>
        <v>0</v>
      </c>
      <c r="I21" s="100">
        <f ca="1">IF(AND($L21="Yes",'R10'!$L26=9),'W10'!F372,IF(AND($L21="Yes",'R10'!$L26=11),'W10'!F398,IF(OR($L21="No",'R10'!L26=12),'W10'!F346)))</f>
        <v>0</v>
      </c>
      <c r="J21" s="100">
        <f ca="1">IF(AND($L21="Yes",'R10'!$L26=9),'W10'!H372,IF(AND($L21="Yes",'R10'!$L26=11),'W10'!H398,IF(OR($L21="No",'R10'!L26=12),'W10'!H346)))</f>
        <v>0</v>
      </c>
      <c r="K21" s="100">
        <f ca="1">IF(AND($L21="Yes",'R10'!$L26=9),'W10'!J372,IF(AND($L21="Yes",'R10'!$L26=11),'W10'!J398,IF(OR($L21="No",'R10'!L26=12),'W10'!J346)))</f>
        <v>0</v>
      </c>
      <c r="L21" s="245" t="s">
        <v>150</v>
      </c>
      <c r="M21" s="255"/>
      <c r="N21" s="128">
        <f ca="1">IF(G21=0,0,IF(G21="",0,'R10'!N26/(G21/'R10'!$L26)))</f>
        <v>0</v>
      </c>
      <c r="O21" s="128">
        <f ca="1">IF(H21=0,0,IF(H21="",0,'R10'!O26/(H21/'R10'!$L26)))</f>
        <v>0</v>
      </c>
      <c r="P21" s="128">
        <f ca="1">IF(I21=0,0,IF(I21="",0,'R10'!P26/(I21/'R10'!$L26)))</f>
        <v>0</v>
      </c>
      <c r="Q21" s="128">
        <f ca="1">IF(J21=0,0,IF(J21="",0,'R10'!Q26/(J21/'R10'!$L26)))</f>
        <v>0</v>
      </c>
      <c r="R21" s="128">
        <f ca="1">IF(K21=0,0,IF(K21="",0,'R10'!R26/(K21/'R10'!$L26)))</f>
        <v>0</v>
      </c>
      <c r="S21" s="51" t="str">
        <f>IF('R10'!K26="","CAL",'R10'!K26)</f>
        <v>CAL</v>
      </c>
      <c r="T21" s="255"/>
      <c r="U21" s="51" t="str">
        <f ca="1">IF(G21="","",IF('W10'!$L236="D","n/a",IF('W10'!B$247='W10'!C$247,"("&amp;ROUND('W10'!B266+'W10'!C266,2)&amp;")"&amp;ROUND('W10'!B$247*100,2),"("&amp;ROUND('W10'!B266,2)&amp;")"&amp;ROUND('W10'!B$247*100,2)&amp;"/ ("&amp;ROUND('W10'!C266,2)&amp;")"&amp;ROUND('W10'!C$247*100,2))))</f>
        <v>n/a</v>
      </c>
      <c r="V21" s="51" t="str">
        <f ca="1">IF(H21="","",IF('W10'!$L236="D","n/a",IF('W10'!D$247='W10'!E$247,"("&amp;ROUND('W10'!D266+'W10'!E266,2)&amp;")"&amp;ROUND('W10'!D$247*100,2),"("&amp;ROUND('W10'!D266,2)&amp;")"&amp;ROUND('W10'!D$247*100,2)&amp;"/ ("&amp;ROUND('W10'!E266,2)&amp;")"&amp;ROUND('W10'!E$247*100,2))))</f>
        <v>n/a</v>
      </c>
      <c r="W21" s="51" t="str">
        <f ca="1">IF(I21="","",IF('W10'!$L236="D","n/a",IF('W10'!F$247='W10'!G$247,"("&amp;ROUND('W10'!F266+'W10'!G266,2)&amp;")"&amp;ROUND('W10'!F$247*100,2),"("&amp;ROUND('W10'!F266,2)&amp;")"&amp;ROUND('W10'!F$247*100,2)&amp;"/ ("&amp;ROUND('W10'!G266,2)&amp;")"&amp;ROUND('W10'!G$247*100,2))))</f>
        <v>n/a</v>
      </c>
      <c r="X21" s="51" t="str">
        <f ca="1">IF(J21="","",IF('W10'!$L236="D","n/a",IF('W10'!H$247='W10'!I$247,"("&amp;ROUND('W10'!H266+'W10'!I266,2)&amp;")"&amp;ROUND('W10'!H$247*100,2),"("&amp;ROUND('W10'!H266,2)&amp;")"&amp;ROUND('W10'!H$247*100,2)&amp;"/ ("&amp;ROUND('W10'!I266,2)&amp;")"&amp;ROUND('W10'!I$247*100,2))))</f>
        <v>n/a</v>
      </c>
      <c r="Y21" s="51" t="str">
        <f ca="1">IF(K21="","",IF('W10'!$L236="D","n/a",IF('W10'!J$247='W10'!K$247,"("&amp;ROUND('W10'!J266+'W10'!K266,2)&amp;")"&amp;ROUND('W10'!J$247*100,2),"("&amp;ROUND('W10'!J266,2)&amp;")"&amp;ROUND('W10'!J$247*100,2)&amp;"/ ("&amp;ROUND('W10'!K266,2)&amp;")"&amp;ROUND('W10'!K$247*100,2))))</f>
        <v>n/a</v>
      </c>
    </row>
    <row r="22" spans="1:25" hidden="1" x14ac:dyDescent="0.25">
      <c r="A22" s="129">
        <f>'R10'!A27</f>
        <v>20</v>
      </c>
      <c r="B22" s="124">
        <f>'R10'!B27</f>
        <v>0</v>
      </c>
      <c r="C22" s="124"/>
      <c r="D22" s="125"/>
      <c r="E22" s="267" t="s">
        <v>180</v>
      </c>
      <c r="F22" s="255"/>
      <c r="G22" s="100">
        <f ca="1">IF(AND($L22="Yes",'R10'!$L27=9),'W10'!B373,IF(AND($L22="Yes",'R10'!$L27=11),'W10'!B399,IF(OR($L22="No",'R10'!L27=12),'W10'!B347)))</f>
        <v>0</v>
      </c>
      <c r="H22" s="100">
        <f ca="1">IF(AND($L22="Yes",'R10'!$L27=9),'W10'!D373,IF(AND($L22="Yes",'R10'!$L27=11),'W10'!D399,IF(OR($L22="No",'R10'!L27=12),'W10'!D347)))</f>
        <v>0</v>
      </c>
      <c r="I22" s="100">
        <f ca="1">IF(AND($L22="Yes",'R10'!$L27=9),'W10'!F373,IF(AND($L22="Yes",'R10'!$L27=11),'W10'!F399,IF(OR($L22="No",'R10'!L27=12),'W10'!F347)))</f>
        <v>0</v>
      </c>
      <c r="J22" s="100">
        <f ca="1">IF(AND($L22="Yes",'R10'!$L27=9),'W10'!H373,IF(AND($L22="Yes",'R10'!$L27=11),'W10'!H399,IF(OR($L22="No",'R10'!L27=12),'W10'!H347)))</f>
        <v>0</v>
      </c>
      <c r="K22" s="100">
        <f ca="1">IF(AND($L22="Yes",'R10'!$L27=9),'W10'!J373,IF(AND($L22="Yes",'R10'!$L27=11),'W10'!J399,IF(OR($L22="No",'R10'!L27=12),'W10'!J347)))</f>
        <v>0</v>
      </c>
      <c r="L22" s="245" t="s">
        <v>150</v>
      </c>
      <c r="M22" s="255"/>
      <c r="N22" s="128">
        <f ca="1">IF(G22=0,0,IF(G22="",0,'R10'!N27/(G22/'R10'!$L27)))</f>
        <v>0</v>
      </c>
      <c r="O22" s="128">
        <f ca="1">IF(H22=0,0,IF(H22="",0,'R10'!O27/(H22/'R10'!$L27)))</f>
        <v>0</v>
      </c>
      <c r="P22" s="128">
        <f ca="1">IF(I22=0,0,IF(I22="",0,'R10'!P27/(I22/'R10'!$L27)))</f>
        <v>0</v>
      </c>
      <c r="Q22" s="128">
        <f ca="1">IF(J22=0,0,IF(J22="",0,'R10'!Q27/(J22/'R10'!$L27)))</f>
        <v>0</v>
      </c>
      <c r="R22" s="128">
        <f ca="1">IF(K22=0,0,IF(K22="",0,'R10'!R27/(K22/'R10'!$L27)))</f>
        <v>0</v>
      </c>
      <c r="S22" s="51" t="str">
        <f>IF('R10'!K27="","CAL",'R10'!K27)</f>
        <v>CAL</v>
      </c>
      <c r="T22" s="255"/>
      <c r="U22" s="51" t="str">
        <f ca="1">IF(G22="","",IF('W10'!$L237="D","n/a",IF('W10'!B$247='W10'!C$247,"("&amp;ROUND('W10'!B267+'W10'!C267,2)&amp;")"&amp;ROUND('W10'!B$247*100,2),"("&amp;ROUND('W10'!B267,2)&amp;")"&amp;ROUND('W10'!B$247*100,2)&amp;"/ ("&amp;ROUND('W10'!C267,2)&amp;")"&amp;ROUND('W10'!C$247*100,2))))</f>
        <v>n/a</v>
      </c>
      <c r="V22" s="51" t="str">
        <f ca="1">IF(H22="","",IF('W10'!$L237="D","n/a",IF('W10'!D$247='W10'!E$247,"("&amp;ROUND('W10'!D267+'W10'!E267,2)&amp;")"&amp;ROUND('W10'!D$247*100,2),"("&amp;ROUND('W10'!D267,2)&amp;")"&amp;ROUND('W10'!D$247*100,2)&amp;"/ ("&amp;ROUND('W10'!E267,2)&amp;")"&amp;ROUND('W10'!E$247*100,2))))</f>
        <v>n/a</v>
      </c>
      <c r="W22" s="51" t="str">
        <f ca="1">IF(I22="","",IF('W10'!$L237="D","n/a",IF('W10'!F$247='W10'!G$247,"("&amp;ROUND('W10'!F267+'W10'!G267,2)&amp;")"&amp;ROUND('W10'!F$247*100,2),"("&amp;ROUND('W10'!F267,2)&amp;")"&amp;ROUND('W10'!F$247*100,2)&amp;"/ ("&amp;ROUND('W10'!G267,2)&amp;")"&amp;ROUND('W10'!G$247*100,2))))</f>
        <v>n/a</v>
      </c>
      <c r="X22" s="51" t="str">
        <f ca="1">IF(J22="","",IF('W10'!$L237="D","n/a",IF('W10'!H$247='W10'!I$247,"("&amp;ROUND('W10'!H267+'W10'!I267,2)&amp;")"&amp;ROUND('W10'!H$247*100,2),"("&amp;ROUND('W10'!H267,2)&amp;")"&amp;ROUND('W10'!H$247*100,2)&amp;"/ ("&amp;ROUND('W10'!I267,2)&amp;")"&amp;ROUND('W10'!I$247*100,2))))</f>
        <v>n/a</v>
      </c>
      <c r="Y22" s="51" t="str">
        <f ca="1">IF(K22="","",IF('W10'!$L237="D","n/a",IF('W10'!J$247='W10'!K$247,"("&amp;ROUND('W10'!J267+'W10'!K267,2)&amp;")"&amp;ROUND('W10'!J$247*100,2),"("&amp;ROUND('W10'!J267,2)&amp;")"&amp;ROUND('W10'!J$247*100,2)&amp;"/ ("&amp;ROUND('W10'!K267,2)&amp;")"&amp;ROUND('W10'!K$247*100,2))))</f>
        <v>n/a</v>
      </c>
    </row>
    <row r="23" spans="1:25" hidden="1" x14ac:dyDescent="0.25">
      <c r="A23" s="129">
        <f>'R10'!A28</f>
        <v>21</v>
      </c>
      <c r="B23" s="124">
        <f>'R10'!B28</f>
        <v>0</v>
      </c>
      <c r="C23" s="124"/>
      <c r="D23" s="125"/>
      <c r="E23" s="267" t="s">
        <v>180</v>
      </c>
      <c r="F23" s="255"/>
      <c r="G23" s="100">
        <f ca="1">IF(AND($L23="Yes",'R10'!$L28=9),'W10'!B374,IF(AND($L23="Yes",'R10'!$L28=11),'W10'!B400,IF(OR($L23="No",'R10'!L28=12),'W10'!B348)))</f>
        <v>0</v>
      </c>
      <c r="H23" s="100">
        <f ca="1">IF(AND($L23="Yes",'R10'!$L28=9),'W10'!D374,IF(AND($L23="Yes",'R10'!$L28=11),'W10'!D400,IF(OR($L23="No",'R10'!L28=12),'W10'!D348)))</f>
        <v>0</v>
      </c>
      <c r="I23" s="100">
        <f ca="1">IF(AND($L23="Yes",'R10'!$L28=9),'W10'!F374,IF(AND($L23="Yes",'R10'!$L28=11),'W10'!F400,IF(OR($L23="No",'R10'!L28=12),'W10'!F348)))</f>
        <v>0</v>
      </c>
      <c r="J23" s="100">
        <f ca="1">IF(AND($L23="Yes",'R10'!$L28=9),'W10'!H374,IF(AND($L23="Yes",'R10'!$L28=11),'W10'!H400,IF(OR($L23="No",'R10'!L28=12),'W10'!H348)))</f>
        <v>0</v>
      </c>
      <c r="K23" s="100">
        <f ca="1">IF(AND($L23="Yes",'R10'!$L28=9),'W10'!J374,IF(AND($L23="Yes",'R10'!$L28=11),'W10'!J400,IF(OR($L23="No",'R10'!L28=12),'W10'!J348)))</f>
        <v>0</v>
      </c>
      <c r="L23" s="245" t="s">
        <v>150</v>
      </c>
      <c r="M23" s="255"/>
      <c r="N23" s="128">
        <f ca="1">IF(G23=0,0,IF(G23="",0,'R10'!N28/(G23/'R10'!$L28)))</f>
        <v>0</v>
      </c>
      <c r="O23" s="128">
        <f ca="1">IF(H23=0,0,IF(H23="",0,'R10'!O28/(H23/'R10'!$L28)))</f>
        <v>0</v>
      </c>
      <c r="P23" s="128">
        <f ca="1">IF(I23=0,0,IF(I23="",0,'R10'!P28/(I23/'R10'!$L28)))</f>
        <v>0</v>
      </c>
      <c r="Q23" s="128">
        <f ca="1">IF(J23=0,0,IF(J23="",0,'R10'!Q28/(J23/'R10'!$L28)))</f>
        <v>0</v>
      </c>
      <c r="R23" s="128">
        <f ca="1">IF(K23=0,0,IF(K23="",0,'R10'!R28/(K23/'R10'!$L28)))</f>
        <v>0</v>
      </c>
      <c r="S23" s="51" t="str">
        <f>IF('R10'!K28="","CAL",'R10'!K28)</f>
        <v>CAL</v>
      </c>
      <c r="T23" s="255"/>
      <c r="U23" s="51" t="str">
        <f ca="1">IF(G23="","",IF('W10'!$L238="D","n/a",IF('W10'!B$247='W10'!C$247,"("&amp;ROUND('W10'!B268+'W10'!C268,2)&amp;")"&amp;ROUND('W10'!B$247*100,2),"("&amp;ROUND('W10'!B268,2)&amp;")"&amp;ROUND('W10'!B$247*100,2)&amp;"/ ("&amp;ROUND('W10'!C268,2)&amp;")"&amp;ROUND('W10'!C$247*100,2))))</f>
        <v>n/a</v>
      </c>
      <c r="V23" s="51" t="str">
        <f ca="1">IF(H23="","",IF('W10'!$L238="D","n/a",IF('W10'!D$247='W10'!E$247,"("&amp;ROUND('W10'!D268+'W10'!E268,2)&amp;")"&amp;ROUND('W10'!D$247*100,2),"("&amp;ROUND('W10'!D268,2)&amp;")"&amp;ROUND('W10'!D$247*100,2)&amp;"/ ("&amp;ROUND('W10'!E268,2)&amp;")"&amp;ROUND('W10'!E$247*100,2))))</f>
        <v>n/a</v>
      </c>
      <c r="W23" s="51" t="str">
        <f ca="1">IF(I23="","",IF('W10'!$L238="D","n/a",IF('W10'!F$247='W10'!G$247,"("&amp;ROUND('W10'!F268+'W10'!G268,2)&amp;")"&amp;ROUND('W10'!F$247*100,2),"("&amp;ROUND('W10'!F268,2)&amp;")"&amp;ROUND('W10'!F$247*100,2)&amp;"/ ("&amp;ROUND('W10'!G268,2)&amp;")"&amp;ROUND('W10'!G$247*100,2))))</f>
        <v>n/a</v>
      </c>
      <c r="X23" s="51" t="str">
        <f ca="1">IF(J23="","",IF('W10'!$L238="D","n/a",IF('W10'!H$247='W10'!I$247,"("&amp;ROUND('W10'!H268+'W10'!I268,2)&amp;")"&amp;ROUND('W10'!H$247*100,2),"("&amp;ROUND('W10'!H268,2)&amp;")"&amp;ROUND('W10'!H$247*100,2)&amp;"/ ("&amp;ROUND('W10'!I268,2)&amp;")"&amp;ROUND('W10'!I$247*100,2))))</f>
        <v>n/a</v>
      </c>
      <c r="Y23" s="51" t="str">
        <f ca="1">IF(K23="","",IF('W10'!$L238="D","n/a",IF('W10'!J$247='W10'!K$247,"("&amp;ROUND('W10'!J268+'W10'!K268,2)&amp;")"&amp;ROUND('W10'!J$247*100,2),"("&amp;ROUND('W10'!J268,2)&amp;")"&amp;ROUND('W10'!J$247*100,2)&amp;"/ ("&amp;ROUND('W10'!K268,2)&amp;")"&amp;ROUND('W10'!K$247*100,2))))</f>
        <v>n/a</v>
      </c>
    </row>
    <row r="24" spans="1:25" hidden="1" x14ac:dyDescent="0.25">
      <c r="A24" s="129">
        <f>'R10'!A29</f>
        <v>22</v>
      </c>
      <c r="B24" s="124">
        <f>'R10'!B29</f>
        <v>0</v>
      </c>
      <c r="C24" s="124"/>
      <c r="D24" s="125"/>
      <c r="E24" s="267" t="s">
        <v>180</v>
      </c>
      <c r="F24" s="255"/>
      <c r="G24" s="100">
        <f ca="1">IF(AND($L24="Yes",'R10'!$L29=9),'W10'!B375,IF(AND($L24="Yes",'R10'!$L29=11),'W10'!B401,IF(OR($L24="No",'R10'!L29=12),'W10'!B349)))</f>
        <v>0</v>
      </c>
      <c r="H24" s="100">
        <f ca="1">IF(AND($L24="Yes",'R10'!$L29=9),'W10'!D375,IF(AND($L24="Yes",'R10'!$L29=11),'W10'!D401,IF(OR($L24="No",'R10'!L29=12),'W10'!D349)))</f>
        <v>0</v>
      </c>
      <c r="I24" s="100">
        <f ca="1">IF(AND($L24="Yes",'R10'!$L29=9),'W10'!F375,IF(AND($L24="Yes",'R10'!$L29=11),'W10'!F401,IF(OR($L24="No",'R10'!L29=12),'W10'!F349)))</f>
        <v>0</v>
      </c>
      <c r="J24" s="100">
        <f ca="1">IF(AND($L24="Yes",'R10'!$L29=9),'W10'!H375,IF(AND($L24="Yes",'R10'!$L29=11),'W10'!H401,IF(OR($L24="No",'R10'!L29=12),'W10'!H349)))</f>
        <v>0</v>
      </c>
      <c r="K24" s="100">
        <f ca="1">IF(AND($L24="Yes",'R10'!$L29=9),'W10'!J375,IF(AND($L24="Yes",'R10'!$L29=11),'W10'!J401,IF(OR($L24="No",'R10'!L29=12),'W10'!J349)))</f>
        <v>0</v>
      </c>
      <c r="L24" s="245" t="s">
        <v>150</v>
      </c>
      <c r="M24" s="255"/>
      <c r="N24" s="128">
        <f ca="1">IF(G24=0,0,IF(G24="",0,'R10'!N29/(G24/'R10'!$L29)))</f>
        <v>0</v>
      </c>
      <c r="O24" s="128">
        <f ca="1">IF(H24=0,0,IF(H24="",0,'R10'!O29/(H24/'R10'!$L29)))</f>
        <v>0</v>
      </c>
      <c r="P24" s="128">
        <f ca="1">IF(I24=0,0,IF(I24="",0,'R10'!P29/(I24/'R10'!$L29)))</f>
        <v>0</v>
      </c>
      <c r="Q24" s="128">
        <f ca="1">IF(J24=0,0,IF(J24="",0,'R10'!Q29/(J24/'R10'!$L29)))</f>
        <v>0</v>
      </c>
      <c r="R24" s="128">
        <f ca="1">IF(K24=0,0,IF(K24="",0,'R10'!R29/(K24/'R10'!$L29)))</f>
        <v>0</v>
      </c>
      <c r="S24" s="51" t="str">
        <f>IF('R10'!K29="","CAL",'R10'!K29)</f>
        <v>CAL</v>
      </c>
      <c r="T24" s="255"/>
      <c r="U24" s="51" t="str">
        <f ca="1">IF(G24="","",IF('W10'!$L239="D","n/a",IF('W10'!B$247='W10'!C$247,"("&amp;ROUND('W10'!B269+'W10'!C269,2)&amp;")"&amp;ROUND('W10'!B$247*100,2),"("&amp;ROUND('W10'!B269,2)&amp;")"&amp;ROUND('W10'!B$247*100,2)&amp;"/ ("&amp;ROUND('W10'!C269,2)&amp;")"&amp;ROUND('W10'!C$247*100,2))))</f>
        <v>n/a</v>
      </c>
      <c r="V24" s="51" t="str">
        <f ca="1">IF(H24="","",IF('W10'!$L239="D","n/a",IF('W10'!D$247='W10'!E$247,"("&amp;ROUND('W10'!D269+'W10'!E269,2)&amp;")"&amp;ROUND('W10'!D$247*100,2),"("&amp;ROUND('W10'!D269,2)&amp;")"&amp;ROUND('W10'!D$247*100,2)&amp;"/ ("&amp;ROUND('W10'!E269,2)&amp;")"&amp;ROUND('W10'!E$247*100,2))))</f>
        <v>n/a</v>
      </c>
      <c r="W24" s="51" t="str">
        <f ca="1">IF(I24="","",IF('W10'!$L239="D","n/a",IF('W10'!F$247='W10'!G$247,"("&amp;ROUND('W10'!F269+'W10'!G269,2)&amp;")"&amp;ROUND('W10'!F$247*100,2),"("&amp;ROUND('W10'!F269,2)&amp;")"&amp;ROUND('W10'!F$247*100,2)&amp;"/ ("&amp;ROUND('W10'!G269,2)&amp;")"&amp;ROUND('W10'!G$247*100,2))))</f>
        <v>n/a</v>
      </c>
      <c r="X24" s="51" t="str">
        <f ca="1">IF(J24="","",IF('W10'!$L239="D","n/a",IF('W10'!H$247='W10'!I$247,"("&amp;ROUND('W10'!H269+'W10'!I269,2)&amp;")"&amp;ROUND('W10'!H$247*100,2),"("&amp;ROUND('W10'!H269,2)&amp;")"&amp;ROUND('W10'!H$247*100,2)&amp;"/ ("&amp;ROUND('W10'!I269,2)&amp;")"&amp;ROUND('W10'!I$247*100,2))))</f>
        <v>n/a</v>
      </c>
      <c r="Y24" s="51" t="str">
        <f ca="1">IF(K24="","",IF('W10'!$L239="D","n/a",IF('W10'!J$247='W10'!K$247,"("&amp;ROUND('W10'!J269+'W10'!K269,2)&amp;")"&amp;ROUND('W10'!J$247*100,2),"("&amp;ROUND('W10'!J269,2)&amp;")"&amp;ROUND('W10'!J$247*100,2)&amp;"/ ("&amp;ROUND('W10'!K269,2)&amp;")"&amp;ROUND('W10'!K$247*100,2))))</f>
        <v>n/a</v>
      </c>
    </row>
    <row r="25" spans="1:25" hidden="1" x14ac:dyDescent="0.25">
      <c r="A25" s="129">
        <f>'R10'!A30</f>
        <v>23</v>
      </c>
      <c r="B25" s="124">
        <f>'R10'!B30</f>
        <v>0</v>
      </c>
      <c r="C25" s="124"/>
      <c r="D25" s="125"/>
      <c r="E25" s="267" t="s">
        <v>180</v>
      </c>
      <c r="F25" s="255"/>
      <c r="G25" s="100">
        <f ca="1">IF(AND($L25="Yes",'R10'!$L30=9),'W10'!B376,IF(AND($L25="Yes",'R10'!$L30=11),'W10'!B402,IF(OR($L25="No",'R10'!L30=12),'W10'!B350)))</f>
        <v>0</v>
      </c>
      <c r="H25" s="100">
        <f ca="1">IF(AND($L25="Yes",'R10'!$L30=9),'W10'!D376,IF(AND($L25="Yes",'R10'!$L30=11),'W10'!D402,IF(OR($L25="No",'R10'!L30=12),'W10'!D350)))</f>
        <v>0</v>
      </c>
      <c r="I25" s="100">
        <f ca="1">IF(AND($L25="Yes",'R10'!$L30=9),'W10'!F376,IF(AND($L25="Yes",'R10'!$L30=11),'W10'!F402,IF(OR($L25="No",'R10'!L30=12),'W10'!F350)))</f>
        <v>0</v>
      </c>
      <c r="J25" s="100">
        <f ca="1">IF(AND($L25="Yes",'R10'!$L30=9),'W10'!H376,IF(AND($L25="Yes",'R10'!$L30=11),'W10'!H402,IF(OR($L25="No",'R10'!L30=12),'W10'!H350)))</f>
        <v>0</v>
      </c>
      <c r="K25" s="100">
        <f ca="1">IF(AND($L25="Yes",'R10'!$L30=9),'W10'!J376,IF(AND($L25="Yes",'R10'!$L30=11),'W10'!J402,IF(OR($L25="No",'R10'!L30=12),'W10'!J350)))</f>
        <v>0</v>
      </c>
      <c r="L25" s="245" t="s">
        <v>150</v>
      </c>
      <c r="M25" s="255"/>
      <c r="N25" s="128">
        <f ca="1">IF(G25=0,0,IF(G25="",0,'R10'!N30/(G25/'R10'!$L30)))</f>
        <v>0</v>
      </c>
      <c r="O25" s="128">
        <f ca="1">IF(H25=0,0,IF(H25="",0,'R10'!O30/(H25/'R10'!$L30)))</f>
        <v>0</v>
      </c>
      <c r="P25" s="128">
        <f ca="1">IF(I25=0,0,IF(I25="",0,'R10'!P30/(I25/'R10'!$L30)))</f>
        <v>0</v>
      </c>
      <c r="Q25" s="128">
        <f ca="1">IF(J25=0,0,IF(J25="",0,'R10'!Q30/(J25/'R10'!$L30)))</f>
        <v>0</v>
      </c>
      <c r="R25" s="128">
        <f ca="1">IF(K25=0,0,IF(K25="",0,'R10'!R30/(K25/'R10'!$L30)))</f>
        <v>0</v>
      </c>
      <c r="S25" s="51" t="str">
        <f>IF('R10'!K30="","CAL",'R10'!K30)</f>
        <v>CAL</v>
      </c>
      <c r="T25" s="255"/>
      <c r="U25" s="51" t="str">
        <f ca="1">IF(G25="","",IF('W10'!$L240="D","n/a",IF('W10'!B$247='W10'!C$247,"("&amp;ROUND('W10'!B270+'W10'!C270,2)&amp;")"&amp;ROUND('W10'!B$247*100,2),"("&amp;ROUND('W10'!B270,2)&amp;")"&amp;ROUND('W10'!B$247*100,2)&amp;"/ ("&amp;ROUND('W10'!C270,2)&amp;")"&amp;ROUND('W10'!C$247*100,2))))</f>
        <v>n/a</v>
      </c>
      <c r="V25" s="51" t="str">
        <f ca="1">IF(H25="","",IF('W10'!$L240="D","n/a",IF('W10'!D$247='W10'!E$247,"("&amp;ROUND('W10'!D270+'W10'!E270,2)&amp;")"&amp;ROUND('W10'!D$247*100,2),"("&amp;ROUND('W10'!D270,2)&amp;")"&amp;ROUND('W10'!D$247*100,2)&amp;"/ ("&amp;ROUND('W10'!E270,2)&amp;")"&amp;ROUND('W10'!E$247*100,2))))</f>
        <v>n/a</v>
      </c>
      <c r="W25" s="51" t="str">
        <f ca="1">IF(I25="","",IF('W10'!$L240="D","n/a",IF('W10'!F$247='W10'!G$247,"("&amp;ROUND('W10'!F270+'W10'!G270,2)&amp;")"&amp;ROUND('W10'!F$247*100,2),"("&amp;ROUND('W10'!F270,2)&amp;")"&amp;ROUND('W10'!F$247*100,2)&amp;"/ ("&amp;ROUND('W10'!G270,2)&amp;")"&amp;ROUND('W10'!G$247*100,2))))</f>
        <v>n/a</v>
      </c>
      <c r="X25" s="51" t="str">
        <f ca="1">IF(J25="","",IF('W10'!$L240="D","n/a",IF('W10'!H$247='W10'!I$247,"("&amp;ROUND('W10'!H270+'W10'!I270,2)&amp;")"&amp;ROUND('W10'!H$247*100,2),"("&amp;ROUND('W10'!H270,2)&amp;")"&amp;ROUND('W10'!H$247*100,2)&amp;"/ ("&amp;ROUND('W10'!I270,2)&amp;")"&amp;ROUND('W10'!I$247*100,2))))</f>
        <v>n/a</v>
      </c>
      <c r="Y25" s="51" t="str">
        <f ca="1">IF(K25="","",IF('W10'!$L240="D","n/a",IF('W10'!J$247='W10'!K$247,"("&amp;ROUND('W10'!J270+'W10'!K270,2)&amp;")"&amp;ROUND('W10'!J$247*100,2),"("&amp;ROUND('W10'!J270,2)&amp;")"&amp;ROUND('W10'!J$247*100,2)&amp;"/ ("&amp;ROUND('W10'!K270,2)&amp;")"&amp;ROUND('W10'!K$247*100,2))))</f>
        <v>n/a</v>
      </c>
    </row>
    <row r="26" spans="1:25" hidden="1" x14ac:dyDescent="0.25">
      <c r="A26" s="129">
        <f>'R10'!A31</f>
        <v>24</v>
      </c>
      <c r="B26" s="124">
        <f>'R10'!B31</f>
        <v>0</v>
      </c>
      <c r="C26" s="124"/>
      <c r="D26" s="125"/>
      <c r="E26" s="267" t="s">
        <v>180</v>
      </c>
      <c r="F26" s="256"/>
      <c r="G26" s="100">
        <f ca="1">IF(AND($L26="Yes",'R10'!$L31=9),'W10'!B377,IF(AND($L26="Yes",'R10'!$L31=11),'W10'!B403,IF(OR($L26="No",'R10'!L31=12),'W10'!B351)))</f>
        <v>0</v>
      </c>
      <c r="H26" s="100">
        <f ca="1">IF(AND($L26="Yes",'R10'!$L31=9),'W10'!D377,IF(AND($L26="Yes",'R10'!$L31=11),'W10'!D403,IF(OR($L26="No",'R10'!L31=12),'W10'!D351)))</f>
        <v>0</v>
      </c>
      <c r="I26" s="100">
        <f ca="1">IF(AND($L26="Yes",'R10'!$L31=9),'W10'!F377,IF(AND($L26="Yes",'R10'!$L31=11),'W10'!F403,IF(OR($L26="No",'R10'!L31=12),'W10'!F351)))</f>
        <v>0</v>
      </c>
      <c r="J26" s="100">
        <f ca="1">IF(AND($L26="Yes",'R10'!$L31=9),'W10'!H377,IF(AND($L26="Yes",'R10'!$L31=11),'W10'!H403,IF(OR($L26="No",'R10'!L31=12),'W10'!H351)))</f>
        <v>0</v>
      </c>
      <c r="K26" s="100">
        <f ca="1">IF(AND($L26="Yes",'R10'!$L31=9),'W10'!J377,IF(AND($L26="Yes",'R10'!$L31=11),'W10'!J403,IF(OR($L26="No",'R10'!L31=12),'W10'!J351)))</f>
        <v>0</v>
      </c>
      <c r="L26" s="245" t="s">
        <v>150</v>
      </c>
      <c r="M26" s="256"/>
      <c r="N26" s="128">
        <f ca="1">IF(G26=0,0,IF(G26="",0,'R10'!N31/(G26/'R10'!$L31)))</f>
        <v>0</v>
      </c>
      <c r="O26" s="128">
        <f ca="1">IF(H26=0,0,IF(H26="",0,'R10'!O31/(H26/'R10'!$L31)))</f>
        <v>0</v>
      </c>
      <c r="P26" s="128">
        <f ca="1">IF(I26=0,0,IF(I26="",0,'R10'!P31/(I26/'R10'!$L31)))</f>
        <v>0</v>
      </c>
      <c r="Q26" s="128">
        <f ca="1">IF(J26=0,0,IF(J26="",0,'R10'!Q31/(J26/'R10'!$L31)))</f>
        <v>0</v>
      </c>
      <c r="R26" s="128">
        <f ca="1">IF(K26=0,0,IF(K26="",0,'R10'!R31/(K26/'R10'!$L31)))</f>
        <v>0</v>
      </c>
      <c r="S26" s="51" t="str">
        <f>IF('R10'!K31="","CAL",'R10'!K31)</f>
        <v>CAL</v>
      </c>
      <c r="T26" s="256"/>
      <c r="U26" s="51" t="str">
        <f ca="1">IF(G26="","",IF('W10'!$L241="D","n/a",IF('W10'!B$247='W10'!C$247,"("&amp;ROUND('W10'!B271+'W10'!C271,2)&amp;")"&amp;ROUND('W10'!B$247*100,2),"("&amp;ROUND('W10'!B271,2)&amp;")"&amp;ROUND('W10'!B$247*100,2)&amp;"/ ("&amp;ROUND('W10'!C271,2)&amp;")"&amp;ROUND('W10'!C$247*100,2))))</f>
        <v>n/a</v>
      </c>
      <c r="V26" s="51" t="str">
        <f ca="1">IF(H26="","",IF('W10'!$L241="D","n/a",IF('W10'!D$247='W10'!E$247,"("&amp;ROUND('W10'!D271+'W10'!E271,2)&amp;")"&amp;ROUND('W10'!D$247*100,2),"("&amp;ROUND('W10'!D271,2)&amp;")"&amp;ROUND('W10'!D$247*100,2)&amp;"/ ("&amp;ROUND('W10'!E271,2)&amp;")"&amp;ROUND('W10'!E$247*100,2))))</f>
        <v>n/a</v>
      </c>
      <c r="W26" s="51" t="str">
        <f ca="1">IF(I26="","",IF('W10'!$L241="D","n/a",IF('W10'!F$247='W10'!G$247,"("&amp;ROUND('W10'!F271+'W10'!G271,2)&amp;")"&amp;ROUND('W10'!F$247*100,2),"("&amp;ROUND('W10'!F271,2)&amp;")"&amp;ROUND('W10'!F$247*100,2)&amp;"/ ("&amp;ROUND('W10'!G271,2)&amp;")"&amp;ROUND('W10'!G$247*100,2))))</f>
        <v>n/a</v>
      </c>
      <c r="X26" s="51" t="str">
        <f ca="1">IF(J26="","",IF('W10'!$L241="D","n/a",IF('W10'!H$247='W10'!I$247,"("&amp;ROUND('W10'!H271+'W10'!I271,2)&amp;")"&amp;ROUND('W10'!H$247*100,2),"("&amp;ROUND('W10'!H271,2)&amp;")"&amp;ROUND('W10'!H$247*100,2)&amp;"/ ("&amp;ROUND('W10'!I271,2)&amp;")"&amp;ROUND('W10'!I$247*100,2))))</f>
        <v>n/a</v>
      </c>
      <c r="Y26" s="51" t="str">
        <f ca="1">IF(K26="","",IF('W10'!$L241="D","n/a",IF('W10'!J$247='W10'!K$247,"("&amp;ROUND('W10'!J271+'W10'!K271,2)&amp;")"&amp;ROUND('W10'!J$247*100,2),"("&amp;ROUND('W10'!J271,2)&amp;")"&amp;ROUND('W10'!J$247*100,2)&amp;"/ ("&amp;ROUND('W10'!K271,2)&amp;")"&amp;ROUND('W10'!K$247*100,2))))</f>
        <v>n/a</v>
      </c>
    </row>
    <row r="27" spans="1:25" x14ac:dyDescent="0.25">
      <c r="A27" s="52"/>
      <c r="B27" s="138"/>
      <c r="C27" s="138"/>
      <c r="D27" s="138"/>
      <c r="E27" s="138"/>
      <c r="F27" s="139"/>
      <c r="G27" s="140"/>
      <c r="H27" s="140"/>
      <c r="I27" s="140"/>
      <c r="J27" s="140"/>
      <c r="K27" s="140"/>
      <c r="L27" s="141"/>
      <c r="M27" s="139"/>
      <c r="N27" s="142"/>
      <c r="O27" s="142"/>
      <c r="P27" s="142"/>
      <c r="Q27" s="142"/>
      <c r="R27" s="142"/>
      <c r="S27" s="143"/>
      <c r="T27" s="139"/>
      <c r="U27" s="143"/>
      <c r="V27" s="143"/>
      <c r="W27" s="143"/>
      <c r="X27" s="143"/>
      <c r="Y27" s="143"/>
    </row>
    <row r="28" spans="1:25" x14ac:dyDescent="0.25">
      <c r="A28" s="469" t="s">
        <v>197</v>
      </c>
      <c r="B28" s="470"/>
      <c r="C28" s="470"/>
      <c r="D28" s="470"/>
      <c r="E28" s="471"/>
      <c r="G28" s="475" t="s">
        <v>167</v>
      </c>
      <c r="H28" s="476"/>
      <c r="I28" s="476"/>
      <c r="J28" s="476"/>
      <c r="K28" s="476"/>
      <c r="L28" s="477"/>
      <c r="N28" s="478" t="s">
        <v>200</v>
      </c>
      <c r="O28" s="479"/>
      <c r="P28" s="479"/>
      <c r="Q28" s="479"/>
      <c r="R28" s="479"/>
      <c r="S28" s="480"/>
    </row>
    <row r="29" spans="1:25" x14ac:dyDescent="0.25">
      <c r="A29" s="472"/>
      <c r="B29" s="473"/>
      <c r="C29" s="473"/>
      <c r="D29" s="473"/>
      <c r="E29" s="474"/>
      <c r="G29" s="223" t="s">
        <v>9</v>
      </c>
      <c r="H29" s="223" t="s">
        <v>10</v>
      </c>
      <c r="I29" s="223" t="s">
        <v>11</v>
      </c>
      <c r="J29" s="223" t="s">
        <v>24</v>
      </c>
      <c r="K29" s="223" t="s">
        <v>12</v>
      </c>
      <c r="L29" s="223" t="s">
        <v>13</v>
      </c>
      <c r="N29" s="145" t="s">
        <v>9</v>
      </c>
      <c r="O29" s="145" t="s">
        <v>10</v>
      </c>
      <c r="P29" s="145" t="s">
        <v>11</v>
      </c>
      <c r="Q29" s="145" t="s">
        <v>24</v>
      </c>
      <c r="R29" s="145" t="s">
        <v>12</v>
      </c>
      <c r="S29" s="145" t="s">
        <v>13</v>
      </c>
    </row>
    <row r="30" spans="1:25" x14ac:dyDescent="0.25">
      <c r="A30" s="453" t="s">
        <v>196</v>
      </c>
      <c r="B30" s="454"/>
      <c r="C30" s="454"/>
      <c r="D30" s="454"/>
      <c r="E30" s="455"/>
      <c r="G30" s="100">
        <f>SUMIF($E$3:$E$26,"postdoc",'R10'!N8:N31)</f>
        <v>0</v>
      </c>
      <c r="H30" s="100">
        <f>SUMIF($E$3:$E$26,"postdoc",'R10'!O8:O31)</f>
        <v>0</v>
      </c>
      <c r="I30" s="100">
        <f>SUMIF($E$3:$E$26,"postdoc",'R10'!P8:P31)</f>
        <v>0</v>
      </c>
      <c r="J30" s="100">
        <f>SUMIF($E$3:$E$26,"postdoc",'R10'!Q8:Q31)</f>
        <v>0</v>
      </c>
      <c r="K30" s="100">
        <f>SUMIF($E$3:$E$26,"postdoc",'R10'!R8:R31)</f>
        <v>0</v>
      </c>
      <c r="L30" s="224">
        <f>SUM(G30:K30)</f>
        <v>0</v>
      </c>
      <c r="N30" s="144">
        <f>SUMIF($E$3:$E$26,"postdoc",N3:N26)</f>
        <v>0</v>
      </c>
      <c r="O30" s="144">
        <f t="shared" ref="O30:R30" si="0">SUMIF($E$3:$E$26,"postdoc",O3:O26)</f>
        <v>0</v>
      </c>
      <c r="P30" s="144">
        <f t="shared" si="0"/>
        <v>0</v>
      </c>
      <c r="Q30" s="144">
        <f t="shared" si="0"/>
        <v>0</v>
      </c>
      <c r="R30" s="144">
        <f t="shared" si="0"/>
        <v>0</v>
      </c>
      <c r="S30" s="225">
        <f>SUM(N30:R30)</f>
        <v>0</v>
      </c>
    </row>
    <row r="31" spans="1:25" x14ac:dyDescent="0.25">
      <c r="A31" s="453" t="s">
        <v>193</v>
      </c>
      <c r="B31" s="454"/>
      <c r="C31" s="454"/>
      <c r="D31" s="454"/>
      <c r="E31" s="455"/>
      <c r="G31" s="100">
        <f>SUMIF($E$3:$E$26,"GSR",'R10'!N8:N31)</f>
        <v>0</v>
      </c>
      <c r="H31" s="100">
        <f>SUMIF($E$3:$E$26,"GSR",'R10'!O8:O31)</f>
        <v>0</v>
      </c>
      <c r="I31" s="100">
        <f>SUMIF($E$3:$E$26,"GSR",'R10'!P8:P31)</f>
        <v>0</v>
      </c>
      <c r="J31" s="100">
        <f>SUMIF($E$3:$E$26,"GSR",'R10'!Q8:Q31)</f>
        <v>0</v>
      </c>
      <c r="K31" s="100">
        <f>SUMIF($E$3:$E$26,"GSR",'R10'!R8:R31)</f>
        <v>0</v>
      </c>
      <c r="L31" s="224">
        <f>SUM(G31:K31)</f>
        <v>0</v>
      </c>
      <c r="N31" s="144">
        <f>SUMIF($E$3:$E$26,"GSR",N3:N26)</f>
        <v>0</v>
      </c>
      <c r="O31" s="144">
        <f t="shared" ref="O31:R31" si="1">SUMIF($E$3:$E$26,"GSR",O3:O26)</f>
        <v>0</v>
      </c>
      <c r="P31" s="144">
        <f t="shared" si="1"/>
        <v>0</v>
      </c>
      <c r="Q31" s="144">
        <f t="shared" si="1"/>
        <v>0</v>
      </c>
      <c r="R31" s="144">
        <f t="shared" si="1"/>
        <v>0</v>
      </c>
      <c r="S31" s="225">
        <f>SUM(N31:R31)</f>
        <v>0</v>
      </c>
    </row>
    <row r="32" spans="1:25" x14ac:dyDescent="0.25">
      <c r="A32" s="453" t="s">
        <v>194</v>
      </c>
      <c r="B32" s="454"/>
      <c r="C32" s="454"/>
      <c r="D32" s="454"/>
      <c r="E32" s="455"/>
      <c r="G32" s="100">
        <f>SUMIF($E$3:$E$26,"Undergrad",'R10'!N8:N31)</f>
        <v>0</v>
      </c>
      <c r="H32" s="100">
        <f>SUMIF($E$3:$E$26,"Undergrad",'R10'!O8:O31)</f>
        <v>0</v>
      </c>
      <c r="I32" s="100">
        <f>SUMIF($E$3:$E$26,"Undergrad",'R10'!P8:P31)</f>
        <v>0</v>
      </c>
      <c r="J32" s="100">
        <f>SUMIF($E$3:$E$26,"Undergrad",'R10'!Q8:Q31)</f>
        <v>0</v>
      </c>
      <c r="K32" s="100">
        <f>SUMIF($E$3:$E$26,"Undergrad",'R10'!R8:R31)</f>
        <v>0</v>
      </c>
      <c r="L32" s="224">
        <f>SUM(G32:K32)</f>
        <v>0</v>
      </c>
      <c r="N32" s="144">
        <f>SUMIF($E$3:$E$26,"Undergrad",N3:N26)</f>
        <v>0</v>
      </c>
      <c r="O32" s="144">
        <f t="shared" ref="O32:R32" si="2">SUMIF($E$3:$E$26,"Undergrad",O3:O26)</f>
        <v>0</v>
      </c>
      <c r="P32" s="144">
        <f t="shared" si="2"/>
        <v>0</v>
      </c>
      <c r="Q32" s="144">
        <f t="shared" si="2"/>
        <v>0</v>
      </c>
      <c r="R32" s="144">
        <f t="shared" si="2"/>
        <v>0</v>
      </c>
      <c r="S32" s="225">
        <f>SUM(N32:R32)</f>
        <v>0</v>
      </c>
    </row>
    <row r="33" spans="1:19" x14ac:dyDescent="0.25">
      <c r="A33" s="453" t="s">
        <v>195</v>
      </c>
      <c r="B33" s="454"/>
      <c r="C33" s="454"/>
      <c r="D33" s="454"/>
      <c r="E33" s="455"/>
      <c r="G33" s="100">
        <f>SUMIF($E$3:$E$26,"Clerical",'R10'!N8:N31)</f>
        <v>0</v>
      </c>
      <c r="H33" s="100">
        <f>SUMIF($E$3:$E$26,"Clerical",'R10'!O8:O31)</f>
        <v>0</v>
      </c>
      <c r="I33" s="100">
        <f>SUMIF($E$3:$E$26,"Clerical",'R10'!P8:P31)</f>
        <v>0</v>
      </c>
      <c r="J33" s="100">
        <f>SUMIF($E$3:$E$26,"Clerical",'R10'!Q8:Q31)</f>
        <v>0</v>
      </c>
      <c r="K33" s="100">
        <f>SUMIF($E$3:$E$26,"Clerical",'R10'!R8:R31)</f>
        <v>0</v>
      </c>
      <c r="L33" s="224">
        <f>SUM(G33:K33)</f>
        <v>0</v>
      </c>
      <c r="N33" s="144">
        <f>SUMIF($E$3:$E$26,"Clerical",N3:N26)</f>
        <v>0</v>
      </c>
      <c r="O33" s="144">
        <f t="shared" ref="O33:R33" si="3">SUMIF($E$3:$E$26,"Clerical",O3:O26)</f>
        <v>0</v>
      </c>
      <c r="P33" s="144">
        <f t="shared" si="3"/>
        <v>0</v>
      </c>
      <c r="Q33" s="144">
        <f t="shared" si="3"/>
        <v>0</v>
      </c>
      <c r="R33" s="144">
        <f t="shared" si="3"/>
        <v>0</v>
      </c>
      <c r="S33" s="225">
        <f>SUM(N33:R33)</f>
        <v>0</v>
      </c>
    </row>
    <row r="34" spans="1:19" ht="7.9" customHeight="1" x14ac:dyDescent="0.25"/>
    <row r="35" spans="1:19" x14ac:dyDescent="0.25">
      <c r="A35" s="469" t="s">
        <v>199</v>
      </c>
      <c r="B35" s="470"/>
      <c r="C35" s="470"/>
      <c r="D35" s="470"/>
      <c r="E35" s="471"/>
      <c r="G35" s="475" t="s">
        <v>199</v>
      </c>
      <c r="H35" s="476"/>
      <c r="I35" s="476"/>
      <c r="J35" s="476"/>
      <c r="K35" s="476"/>
      <c r="L35" s="477"/>
    </row>
    <row r="36" spans="1:19" x14ac:dyDescent="0.25">
      <c r="A36" s="472"/>
      <c r="B36" s="473"/>
      <c r="C36" s="473"/>
      <c r="D36" s="473"/>
      <c r="E36" s="474"/>
      <c r="G36" s="223" t="s">
        <v>9</v>
      </c>
      <c r="H36" s="223" t="s">
        <v>10</v>
      </c>
      <c r="I36" s="223" t="s">
        <v>11</v>
      </c>
      <c r="J36" s="223" t="s">
        <v>24</v>
      </c>
      <c r="K36" s="223" t="s">
        <v>12</v>
      </c>
      <c r="L36" s="223" t="s">
        <v>13</v>
      </c>
    </row>
    <row r="37" spans="1:19" x14ac:dyDescent="0.25">
      <c r="A37" s="453" t="s">
        <v>196</v>
      </c>
      <c r="B37" s="454"/>
      <c r="C37" s="454"/>
      <c r="D37" s="454"/>
      <c r="E37" s="455"/>
      <c r="G37" s="100">
        <f>SUMIF($E$3:$E$26,"postdoc",'R10'!N36:N59)</f>
        <v>0</v>
      </c>
      <c r="H37" s="100">
        <f>SUMIF($E$3:$E$26,"postdoc",'R10'!O36:O59)</f>
        <v>0</v>
      </c>
      <c r="I37" s="100">
        <f>SUMIF($E$3:$E$26,"postdoc",'R10'!P36:P59)</f>
        <v>0</v>
      </c>
      <c r="J37" s="100">
        <f>SUMIF($E$3:$E$26,"postdoc",'R10'!Q36:Q59)</f>
        <v>0</v>
      </c>
      <c r="K37" s="100">
        <f>SUMIF($E$3:$E$26,"postdoc",'R10'!R36:R59)</f>
        <v>0</v>
      </c>
      <c r="L37" s="224">
        <f>SUM(G37:K37)</f>
        <v>0</v>
      </c>
    </row>
    <row r="38" spans="1:19" x14ac:dyDescent="0.25">
      <c r="A38" s="453" t="s">
        <v>193</v>
      </c>
      <c r="B38" s="454"/>
      <c r="C38" s="454"/>
      <c r="D38" s="454"/>
      <c r="E38" s="455"/>
      <c r="G38" s="100">
        <f>SUMIF($E$3:$E$26,"GSR",'R10'!N36:N59)</f>
        <v>0</v>
      </c>
      <c r="H38" s="100">
        <f>SUMIF($E$3:$E$26,"GSR",'R10'!O36:O59)</f>
        <v>0</v>
      </c>
      <c r="I38" s="100">
        <f>SUMIF($E$3:$E$26,"GSR",'R10'!P36:P59)</f>
        <v>0</v>
      </c>
      <c r="J38" s="100">
        <f>SUMIF($E$3:$E$26,"GSR",'R10'!Q36:Q59)</f>
        <v>0</v>
      </c>
      <c r="K38" s="100">
        <f>SUMIF($E$3:$E$26,"GSR",'R10'!R36:R59)</f>
        <v>0</v>
      </c>
      <c r="L38" s="224">
        <f t="shared" ref="L38:L40" si="4">SUM(G38:K38)</f>
        <v>0</v>
      </c>
    </row>
    <row r="39" spans="1:19" x14ac:dyDescent="0.25">
      <c r="A39" s="453" t="s">
        <v>194</v>
      </c>
      <c r="B39" s="454"/>
      <c r="C39" s="454"/>
      <c r="D39" s="454"/>
      <c r="E39" s="455"/>
      <c r="G39" s="100">
        <f>SUMIF($E$3:$E$26,"Undergrad",'R10'!N36:N59)</f>
        <v>0</v>
      </c>
      <c r="H39" s="100">
        <f>SUMIF($E$3:$E$26,"Undergrad",'R10'!O36:O59)</f>
        <v>0</v>
      </c>
      <c r="I39" s="100">
        <f>SUMIF($E$3:$E$26,"Undergrad",'R10'!P36:P59)</f>
        <v>0</v>
      </c>
      <c r="J39" s="100">
        <f>SUMIF($E$3:$E$26,"Undergrad",'R10'!Q36:Q59)</f>
        <v>0</v>
      </c>
      <c r="K39" s="100">
        <f>SUMIF($E$3:$E$26,"Undergrad",'R10'!R36:R59)</f>
        <v>0</v>
      </c>
      <c r="L39" s="224">
        <f>SUM(G39:K39)</f>
        <v>0</v>
      </c>
    </row>
    <row r="40" spans="1:19" x14ac:dyDescent="0.25">
      <c r="A40" s="453" t="s">
        <v>195</v>
      </c>
      <c r="B40" s="454"/>
      <c r="C40" s="454"/>
      <c r="D40" s="454"/>
      <c r="E40" s="455"/>
      <c r="G40" s="100">
        <f>SUMIF($E$3:$E$26,"Clerical",'R10'!N36:N59)</f>
        <v>0</v>
      </c>
      <c r="H40" s="100">
        <f>SUMIF($E$3:$E$26,"Clerical",'R10'!O36:O59)</f>
        <v>0</v>
      </c>
      <c r="I40" s="100">
        <f>SUMIF($E$3:$E$26,"Clerical",'R10'!P36:P59)</f>
        <v>0</v>
      </c>
      <c r="J40" s="100">
        <f>SUMIF($E$3:$E$26,"Clerical",'R10'!Q36:Q59)</f>
        <v>0</v>
      </c>
      <c r="K40" s="100">
        <f>SUMIF($E$3:$E$26,"Clerical",'R10'!R36:R59)</f>
        <v>0</v>
      </c>
      <c r="L40" s="224">
        <f t="shared" si="4"/>
        <v>0</v>
      </c>
    </row>
    <row r="41" spans="1:19" x14ac:dyDescent="0.25">
      <c r="L41" s="146"/>
    </row>
  </sheetData>
  <sheetProtection formatCells="0" formatColumns="0" formatRows="0"/>
  <mergeCells count="19">
    <mergeCell ref="A40:E40"/>
    <mergeCell ref="A33:E33"/>
    <mergeCell ref="A35:E36"/>
    <mergeCell ref="G35:L35"/>
    <mergeCell ref="A37:E37"/>
    <mergeCell ref="A38:E38"/>
    <mergeCell ref="A39:E39"/>
    <mergeCell ref="A32:E32"/>
    <mergeCell ref="A1:E1"/>
    <mergeCell ref="G1:L1"/>
    <mergeCell ref="N1:S1"/>
    <mergeCell ref="U1:Y1"/>
    <mergeCell ref="A2:B2"/>
    <mergeCell ref="C2:E2"/>
    <mergeCell ref="A28:E29"/>
    <mergeCell ref="G28:L28"/>
    <mergeCell ref="N28:S28"/>
    <mergeCell ref="A30:E30"/>
    <mergeCell ref="A31:E31"/>
  </mergeCells>
  <dataValidations count="3">
    <dataValidation type="list" allowBlank="1" showInputMessage="1" showErrorMessage="1" sqref="L3:L26">
      <formula1>"Yes,No"</formula1>
    </dataValidation>
    <dataValidation type="list" allowBlank="1" showInputMessage="1" showErrorMessage="1" sqref="L27">
      <formula1>"n/a,Base- 9/12,Base-11/12"</formula1>
    </dataValidation>
    <dataValidation type="list" allowBlank="1" showInputMessage="1" showErrorMessage="1" sqref="E3:E27">
      <formula1>"Senior/Key,Other,Postdoc,GSR,Undergrad,Clerical"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2" workbookViewId="0">
      <selection activeCell="L35" sqref="L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IF(#REF!='W3'!A86,'W3'!B86,IF(#REF!='W3'!A87,'W3'!B87,IF(#REF!='W3'!A88,'W3'!B88,IF(#REF!='W3'!A89,'W3'!B89,IF(#REF!='W3'!A90,'W3'!B90,IF(#REF!='W3'!A91,'W3'!B91))))))</f>
        <v>#REF!</v>
      </c>
      <c r="C97" s="37" t="e">
        <f>IF(#REF!='W3'!A86,'W3'!C86,IF(#REF!='W3'!A87,'W3'!C87,IF(#REF!='W3'!A88,'W3'!C88,IF(#REF!='W3'!A89,'W3'!C89,IF(#REF!='W3'!A90,'W3'!C90,IF(#REF!='W3'!A91,'W3'!C91))))))</f>
        <v>#REF!</v>
      </c>
      <c r="D97" s="37" t="e">
        <f>IF(#REF!='W3'!$A$86,'W3'!D86,IF(#REF!='W3'!$A$87,'W3'!D87,IF(#REF!='W3'!$A$88,'W3'!D88,IF(#REF!='W3'!$A$89,'W3'!D89,IF(#REF!='W3'!$A$90,'W3'!D90,IF(#REF!='W3'!$A$91,'W3'!D91))))))</f>
        <v>#REF!</v>
      </c>
      <c r="E97" s="37" t="e">
        <f>IF(#REF!='W3'!$A$86,'W3'!E86,IF(#REF!='W3'!$A$87,'W3'!E87,IF(#REF!='W3'!$A$88,'W3'!E88,IF(#REF!='W3'!$A$89,'W3'!E89,IF(#REF!='W3'!$A$90,'W3'!E90,IF(#REF!='W3'!$A$91,'W3'!E91))))))</f>
        <v>#REF!</v>
      </c>
      <c r="F97" s="37" t="e">
        <f>IF(#REF!='W3'!$A$86,'W3'!F86,IF(#REF!='W3'!$A$87,'W3'!F87,IF(#REF!='W3'!$A$88,'W3'!F88,IF(#REF!='W3'!$A$89,'W3'!F89,IF(#REF!='W3'!$A$90,'W3'!F90,IF(#REF!='W3'!$A$91,'W3'!F91))))))</f>
        <v>#REF!</v>
      </c>
      <c r="G97" s="37" t="e">
        <f>IF(#REF!='W3'!$A$86,'W3'!G86,IF(#REF!='W3'!$A$87,'W3'!G87,IF(#REF!='W3'!$A$88,'W3'!G88,IF(#REF!='W3'!$A$89,'W3'!G89,IF(#REF!='W3'!$A$90,'W3'!G90,IF(#REF!='W3'!$A$91,'W3'!G91))))))</f>
        <v>#REF!</v>
      </c>
      <c r="H97" s="37" t="e">
        <f>IF(#REF!='W3'!$A$86,'W3'!H86,IF(#REF!='W3'!$A$87,'W3'!H87,IF(#REF!='W3'!$A$88,'W3'!H88,IF(#REF!='W3'!$A$89,'W3'!H89,IF(#REF!='W3'!$A$90,'W3'!H90,IF(#REF!='W3'!$A$91,'W3'!H91))))))</f>
        <v>#REF!</v>
      </c>
      <c r="I97" s="37" t="e">
        <f>IF(#REF!='W3'!$A$86,'W3'!I86,IF(#REF!='W3'!$A$87,'W3'!I87,IF(#REF!='W3'!$A$88,'W3'!I88,IF(#REF!='W3'!$A$89,'W3'!I89,IF(#REF!='W3'!$A$90,'W3'!I90,IF(#REF!='W3'!$A$91,'W3'!I91))))))</f>
        <v>#REF!</v>
      </c>
      <c r="J97" s="37" t="e">
        <f>IF(#REF!='W3'!$A$86,'W3'!J86,IF(#REF!='W3'!$A$87,'W3'!J87,IF(#REF!='W3'!$A$88,'W3'!J88,IF(#REF!='W3'!$A$89,'W3'!J89,IF(#REF!='W3'!$A$90,'W3'!J90,IF(#REF!='W3'!$A$91,'W3'!J91))))))</f>
        <v>#REF!</v>
      </c>
      <c r="K97" s="37" t="e">
        <f>IF(#REF!='W3'!$A$86,'W3'!K86,IF(#REF!='W3'!$A$87,'W3'!K87,IF(#REF!='W3'!$A$88,'W3'!K88,IF(#REF!='W3'!$A$89,'W3'!K89,IF(#REF!='W3'!$A$90,'W3'!K90,IF(#REF!='W3'!$A$91,'W3'!K91))))))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#REF!+#REF!+#REF!+#REF!+SUM(#REF!)+SUM(#REF!)+'W3'!C136</f>
        <v>#REF!</v>
      </c>
      <c r="D157" s="41" t="e">
        <f>IF(D4="",0,(#REF!+#REF!+#REF!+#REF!+SUM(#REF!)+SUM(#REF!)+'W3'!D136))</f>
        <v>#REF!</v>
      </c>
      <c r="E157" s="41" t="e">
        <f>IF(E4="",0,(#REF!+#REF!+#REF!+#REF!+SUM(#REF!)+SUM(#REF!)+'W3'!E136))</f>
        <v>#REF!</v>
      </c>
      <c r="F157" s="41" t="e">
        <f>IF(F4="",0,(#REF!+#REF!+#REF!+#REF!+SUM(#REF!)+SUM(#REF!)+'W3'!F136))</f>
        <v>#REF!</v>
      </c>
      <c r="G157" s="41" t="e">
        <f>IF(G4="",0,(#REF!+#REF!+#REF!+#REF!+SUM(#REF!)+SUM(#REF!)+'W3'!G136))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#REF!-#REF!+'W3'!C154</f>
        <v>#REF!</v>
      </c>
      <c r="D158" s="42" t="e">
        <f>IF(D4="",0,(#REF!-#REF!+'W3'!D154))</f>
        <v>#REF!</v>
      </c>
      <c r="E158" s="42" t="e">
        <f>IF(E4="",0,(#REF!-#REF!+'W3'!E154))</f>
        <v>#REF!</v>
      </c>
      <c r="F158" s="42" t="e">
        <f>IF(F4="",0,(#REF!-#REF!+'W3'!F154))</f>
        <v>#REF!</v>
      </c>
      <c r="G158" s="42" t="e">
        <f>IF(G4="",0,(#REF!-#REF!+'W3'!G154))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ROUND((#REF!-#REF!+'W3'!C154)/(1-#REF!),0)</f>
        <v>#REF!</v>
      </c>
      <c r="D159" s="41" t="e">
        <f>IF(D4="",0,(ROUND((#REF!-#REF!+'W3'!D154)/(1-#REF!),0)))</f>
        <v>#REF!</v>
      </c>
      <c r="E159" s="41" t="e">
        <f>IF(E4="",0,(ROUND((#REF!-#REF!+'W3'!E154)/(1-#REF!),0)))</f>
        <v>#REF!</v>
      </c>
      <c r="F159" s="41" t="e">
        <f>IF(F4="",0,(ROUND((#REF!-#REF!+'W3'!F154)/(1-#REF!),0)))</f>
        <v>#REF!</v>
      </c>
      <c r="G159" s="41" t="e">
        <f>IF(G4="",0,(ROUND((#REF!-#REF!+'W3'!G154)/(1-#REF!),0)))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IF(C$5=0,0,IF(#REF!="AY",(E162*C$27+F162*C$28)/C$29,'W3'!E162))</f>
        <v>#REF!</v>
      </c>
      <c r="L162" s="112" t="e">
        <f>IF(D$5=0,0,IF(#REF!="AY",(F162*D$27+G162*D$28)/D$29,'W3'!F162))</f>
        <v>#REF!</v>
      </c>
      <c r="M162" s="112" t="e">
        <f>IF(E$5=0,0,IF(#REF!="AY",(G162*E$27+H162*E$28)/E$29,'W3'!G162))</f>
        <v>#REF!</v>
      </c>
      <c r="N162" s="112" t="e">
        <f>IF(F$5=0,0,IF(#REF!="AY",(H162*F$27+I162*F$28)/F$29,'W3'!H162))</f>
        <v>#REF!</v>
      </c>
      <c r="O162" s="112" t="e">
        <f>IF(G$5=0,0,IF(#REF!="AY",(I162*G$27+J162*G$28)/G$29,'W3'!I162))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IF(C$5=0,0,IF(#REF!="AY",(E163*C$27+F163*C$28)/C$29,'W3'!E163))</f>
        <v>#REF!</v>
      </c>
      <c r="L163" s="112" t="e">
        <f>IF(D$5=0,0,IF(#REF!="AY",(F163*D$27+G163*D$28)/D$29,'W3'!F163))</f>
        <v>#REF!</v>
      </c>
      <c r="M163" s="112" t="e">
        <f>IF(E$5=0,0,IF(#REF!="AY",(G163*E$27+H163*E$28)/E$29,'W3'!G163))</f>
        <v>#REF!</v>
      </c>
      <c r="N163" s="112" t="e">
        <f>IF(F$5=0,0,IF(#REF!="AY",(H163*F$27+I163*F$28)/F$29,'W3'!H163))</f>
        <v>#REF!</v>
      </c>
      <c r="O163" s="112" t="e">
        <f>IF(G$5=0,0,IF(#REF!="AY",(I163*G$27+J163*G$28)/G$29,'W3'!I163))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IF(C$5=0,0,IF(#REF!="AY",(E164*C$27+F164*C$28)/C$29,'W3'!E164))</f>
        <v>#REF!</v>
      </c>
      <c r="L164" s="112" t="e">
        <f>IF(D$5=0,0,IF(#REF!="AY",(F164*D$27+G164*D$28)/D$29,'W3'!F164))</f>
        <v>#REF!</v>
      </c>
      <c r="M164" s="112" t="e">
        <f>IF(E$5=0,0,IF(#REF!="AY",(G164*E$27+H164*E$28)/E$29,'W3'!G164))</f>
        <v>#REF!</v>
      </c>
      <c r="N164" s="112" t="e">
        <f>IF(F$5=0,0,IF(#REF!="AY",(H164*F$27+I164*F$28)/F$29,'W3'!H164))</f>
        <v>#REF!</v>
      </c>
      <c r="O164" s="112" t="e">
        <f>IF(G$5=0,0,IF(#REF!="AY",(I164*G$27+J164*G$28)/G$29,'W3'!I164))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IF(C$5=0,0,IF(#REF!="AY",(E165*C$27+F165*C$28)/C$29,'W3'!E165))</f>
        <v>#REF!</v>
      </c>
      <c r="L165" s="112" t="e">
        <f>IF(D$5=0,0,IF(#REF!="AY",(F165*D$27+G165*D$28)/D$29,'W3'!F165))</f>
        <v>#REF!</v>
      </c>
      <c r="M165" s="112" t="e">
        <f>IF(E$5=0,0,IF(#REF!="AY",(G165*E$27+H165*E$28)/E$29,'W3'!G165))</f>
        <v>#REF!</v>
      </c>
      <c r="N165" s="112" t="e">
        <f>IF(F$5=0,0,IF(#REF!="AY",(H165*F$27+I165*F$28)/F$29,'W3'!H165))</f>
        <v>#REF!</v>
      </c>
      <c r="O165" s="112" t="e">
        <f>IF(G$5=0,0,IF(#REF!="AY",(I165*G$27+J165*G$28)/G$29,'W3'!I165))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IF(C$5=0,0,IF(#REF!="AY",(E166*C$27+F166*C$28)/C$29,'W3'!E166))</f>
        <v>#REF!</v>
      </c>
      <c r="L166" s="112" t="e">
        <f>IF(D$5=0,0,IF(#REF!="AY",(F166*D$27+G166*D$28)/D$29,'W3'!F166))</f>
        <v>#REF!</v>
      </c>
      <c r="M166" s="112" t="e">
        <f>IF(E$5=0,0,IF(#REF!="AY",(G166*E$27+H166*E$28)/E$29,'W3'!G166))</f>
        <v>#REF!</v>
      </c>
      <c r="N166" s="112" t="e">
        <f>IF(F$5=0,0,IF(#REF!="AY",(H166*F$27+I166*F$28)/F$29,'W3'!H166))</f>
        <v>#REF!</v>
      </c>
      <c r="O166" s="112" t="e">
        <f>IF(G$5=0,0,IF(#REF!="AY",(I166*G$27+J166*G$28)/G$29,'W3'!I166))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IF(C$5=0,0,IF(#REF!="AY",(E167*C$27+F167*C$28)/C$29,'W3'!E167))</f>
        <v>#REF!</v>
      </c>
      <c r="L167" s="112" t="e">
        <f>IF(D$5=0,0,IF(#REF!="AY",(F167*D$27+G167*D$28)/D$29,'W3'!F167))</f>
        <v>#REF!</v>
      </c>
      <c r="M167" s="112" t="e">
        <f>IF(E$5=0,0,IF(#REF!="AY",(G167*E$27+H167*E$28)/E$29,'W3'!G167))</f>
        <v>#REF!</v>
      </c>
      <c r="N167" s="112" t="e">
        <f>IF(F$5=0,0,IF(#REF!="AY",(H167*F$27+I167*F$28)/F$29,'W3'!H167))</f>
        <v>#REF!</v>
      </c>
      <c r="O167" s="112" t="e">
        <f>IF(G$5=0,0,IF(#REF!="AY",(I167*G$27+J167*G$28)/G$29,'W3'!I167))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IF(C$5=0,0,IF(#REF!="AY",(E168*C$27+F168*C$28)/C$29,'W3'!E168))</f>
        <v>#REF!</v>
      </c>
      <c r="L168" s="112" t="e">
        <f>IF(D$5=0,0,IF(#REF!="AY",(F168*D$27+G168*D$28)/D$29,'W3'!F168))</f>
        <v>#REF!</v>
      </c>
      <c r="M168" s="112" t="e">
        <f>IF(E$5=0,0,IF(#REF!="AY",(G168*E$27+H168*E$28)/E$29,'W3'!G168))</f>
        <v>#REF!</v>
      </c>
      <c r="N168" s="112" t="e">
        <f>IF(F$5=0,0,IF(#REF!="AY",(H168*F$27+I168*F$28)/F$29,'W3'!H168))</f>
        <v>#REF!</v>
      </c>
      <c r="O168" s="112" t="e">
        <f>IF(G$5=0,0,IF(#REF!="AY",(I168*G$27+J168*G$28)/G$29,'W3'!I168))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IF(C$5=0,0,IF(#REF!="AY",(E169*C$27+F169*C$28)/C$29,'W3'!E169))</f>
        <v>#REF!</v>
      </c>
      <c r="L169" s="112" t="e">
        <f>IF(D$5=0,0,IF(#REF!="AY",(F169*D$27+G169*D$28)/D$29,'W3'!F169))</f>
        <v>#REF!</v>
      </c>
      <c r="M169" s="112" t="e">
        <f>IF(E$5=0,0,IF(#REF!="AY",(G169*E$27+H169*E$28)/E$29,'W3'!G169))</f>
        <v>#REF!</v>
      </c>
      <c r="N169" s="112" t="e">
        <f>IF(F$5=0,0,IF(#REF!="AY",(H169*F$27+I169*F$28)/F$29,'W3'!H169))</f>
        <v>#REF!</v>
      </c>
      <c r="O169" s="112" t="e">
        <f>IF(G$5=0,0,IF(#REF!="AY",(I169*G$27+J169*G$28)/G$29,'W3'!I169))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IF(C$5=0,0,IF(#REF!="AY",(E170*C$27+F170*C$28)/C$29,'W3'!E170))</f>
        <v>#REF!</v>
      </c>
      <c r="L170" s="112" t="e">
        <f>IF(D$5=0,0,IF(#REF!="AY",(F170*D$27+G170*D$28)/D$29,'W3'!F170))</f>
        <v>#REF!</v>
      </c>
      <c r="M170" s="112" t="e">
        <f>IF(E$5=0,0,IF(#REF!="AY",(G170*E$27+H170*E$28)/E$29,'W3'!G170))</f>
        <v>#REF!</v>
      </c>
      <c r="N170" s="112" t="e">
        <f>IF(F$5=0,0,IF(#REF!="AY",(H170*F$27+I170*F$28)/F$29,'W3'!H170))</f>
        <v>#REF!</v>
      </c>
      <c r="O170" s="112" t="e">
        <f>IF(G$5=0,0,IF(#REF!="AY",(I170*G$27+J170*G$28)/G$29,'W3'!I170))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IF(C$5=0,0,IF(#REF!="AY",(E171*C$27+F171*C$28)/C$29,'W3'!E171))</f>
        <v>#REF!</v>
      </c>
      <c r="L171" s="112" t="e">
        <f>IF(D$5=0,0,IF(#REF!="AY",(F171*D$27+G171*D$28)/D$29,'W3'!F171))</f>
        <v>#REF!</v>
      </c>
      <c r="M171" s="112" t="e">
        <f>IF(E$5=0,0,IF(#REF!="AY",(G171*E$27+H171*E$28)/E$29,'W3'!G171))</f>
        <v>#REF!</v>
      </c>
      <c r="N171" s="112" t="e">
        <f>IF(F$5=0,0,IF(#REF!="AY",(H171*F$27+I171*F$28)/F$29,'W3'!H171))</f>
        <v>#REF!</v>
      </c>
      <c r="O171" s="112" t="e">
        <f>IF(G$5=0,0,IF(#REF!="AY",(I171*G$27+J171*G$28)/G$29,'W3'!I171))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IF(C$5=0,0,IF(#REF!="AY",(E172*C$27+F172*C$28)/C$29,'W3'!E172))</f>
        <v>#REF!</v>
      </c>
      <c r="L172" s="112" t="e">
        <f>IF(D$5=0,0,IF(#REF!="AY",(F172*D$27+G172*D$28)/D$29,'W3'!F172))</f>
        <v>#REF!</v>
      </c>
      <c r="M172" s="112" t="e">
        <f>IF(E$5=0,0,IF(#REF!="AY",(G172*E$27+H172*E$28)/E$29,'W3'!G172))</f>
        <v>#REF!</v>
      </c>
      <c r="N172" s="112" t="e">
        <f>IF(F$5=0,0,IF(#REF!="AY",(H172*F$27+I172*F$28)/F$29,'W3'!H172))</f>
        <v>#REF!</v>
      </c>
      <c r="O172" s="112" t="e">
        <f>IF(G$5=0,0,IF(#REF!="AY",(I172*G$27+J172*G$28)/G$29,'W3'!I172))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IF(C$5=0,0,IF(#REF!="AY",(E173*C$27+F173*C$28)/C$29,'W3'!E173))</f>
        <v>#REF!</v>
      </c>
      <c r="L173" s="112" t="e">
        <f>IF(D$5=0,0,IF(#REF!="AY",(F173*D$27+G173*D$28)/D$29,'W3'!F173))</f>
        <v>#REF!</v>
      </c>
      <c r="M173" s="112" t="e">
        <f>IF(E$5=0,0,IF(#REF!="AY",(G173*E$27+H173*E$28)/E$29,'W3'!G173))</f>
        <v>#REF!</v>
      </c>
      <c r="N173" s="112" t="e">
        <f>IF(F$5=0,0,IF(#REF!="AY",(H173*F$27+I173*F$28)/F$29,'W3'!H173))</f>
        <v>#REF!</v>
      </c>
      <c r="O173" s="112" t="e">
        <f>IF(G$5=0,0,IF(#REF!="AY",(I173*G$27+J173*G$28)/G$29,'W3'!I173))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IF(#REF!="No",(#REF!*B177/12*#REF!),(#REF!*'W3'!B177))</f>
        <v>#REF!</v>
      </c>
      <c r="I177" s="70" t="e">
        <f>IF(#REF!="No",(#REF!*C177/12*#REF!),(#REF!*'W3'!C177))</f>
        <v>#REF!</v>
      </c>
      <c r="J177" s="70" t="e">
        <f>IF(#REF!="No",(#REF!*D177/12*#REF!),(#REF!*'W3'!D177))</f>
        <v>#REF!</v>
      </c>
      <c r="K177" s="70" t="e">
        <f>IF(#REF!="No",(#REF!*E177/12*#REF!),(#REF!*'W3'!E177))</f>
        <v>#REF!</v>
      </c>
      <c r="L177" s="70" t="e">
        <f>IF(#REF!="No",(#REF!*F177/12*#REF!),(#REF!*'W3'!F177))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IF(#REF!="No",(#REF!*B178/12*#REF!),(#REF!*'W3'!B178))</f>
        <v>#REF!</v>
      </c>
      <c r="I178" s="70" t="e">
        <f>IF(#REF!="No",(#REF!*C178/12*#REF!),(#REF!*'W3'!C178))</f>
        <v>#REF!</v>
      </c>
      <c r="J178" s="70" t="e">
        <f>IF(#REF!="No",(#REF!*D178/12*#REF!),(#REF!*'W3'!D178))</f>
        <v>#REF!</v>
      </c>
      <c r="K178" s="70" t="e">
        <f>IF(#REF!="No",(#REF!*E178/12*#REF!),(#REF!*'W3'!E178))</f>
        <v>#REF!</v>
      </c>
      <c r="L178" s="70" t="e">
        <f>IF(#REF!="No",(#REF!*F178/12*#REF!),(#REF!*'W3'!F178))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IF(#REF!="No",(#REF!*B179/12*#REF!),(#REF!*'W3'!B179))</f>
        <v>#REF!</v>
      </c>
      <c r="I179" s="70" t="e">
        <f>IF(#REF!="No",(#REF!*C179/12*#REF!),(#REF!*'W3'!C179))</f>
        <v>#REF!</v>
      </c>
      <c r="J179" s="70" t="e">
        <f>IF(#REF!="No",(#REF!*D179/12*#REF!),(#REF!*'W3'!D179))</f>
        <v>#REF!</v>
      </c>
      <c r="K179" s="70" t="e">
        <f>IF(#REF!="No",(#REF!*E179/12*#REF!),(#REF!*'W3'!E179))</f>
        <v>#REF!</v>
      </c>
      <c r="L179" s="70" t="e">
        <f>IF(#REF!="No",(#REF!*F179/12*#REF!),(#REF!*'W3'!F179))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IF(#REF!="No",(#REF!*B180/12*#REF!),(#REF!*'W3'!B180))</f>
        <v>#REF!</v>
      </c>
      <c r="I180" s="70" t="e">
        <f>IF(#REF!="No",(#REF!*C180/12*#REF!),(#REF!*'W3'!C180))</f>
        <v>#REF!</v>
      </c>
      <c r="J180" s="70" t="e">
        <f>IF(#REF!="No",(#REF!*D180/12*#REF!),(#REF!*'W3'!D180))</f>
        <v>#REF!</v>
      </c>
      <c r="K180" s="70" t="e">
        <f>IF(#REF!="No",(#REF!*E180/12*#REF!),(#REF!*'W3'!E180))</f>
        <v>#REF!</v>
      </c>
      <c r="L180" s="70" t="e">
        <f>IF(#REF!="No",(#REF!*F180/12*#REF!),(#REF!*'W3'!F180))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IF(#REF!="No",(#REF!*B181/12*#REF!),(#REF!*'W3'!B181))</f>
        <v>#REF!</v>
      </c>
      <c r="I181" s="70" t="e">
        <f>IF(#REF!="No",(#REF!*C181/12*#REF!),(#REF!*'W3'!C181))</f>
        <v>#REF!</v>
      </c>
      <c r="J181" s="70" t="e">
        <f>IF(#REF!="No",(#REF!*D181/12*#REF!),(#REF!*'W3'!D181))</f>
        <v>#REF!</v>
      </c>
      <c r="K181" s="70" t="e">
        <f>IF(#REF!="No",(#REF!*E181/12*#REF!),(#REF!*'W3'!E181))</f>
        <v>#REF!</v>
      </c>
      <c r="L181" s="70" t="e">
        <f>IF(#REF!="No",(#REF!*F181/12*#REF!),(#REF!*'W3'!F181))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IF(#REF!="No",(#REF!*B182/12*#REF!),(#REF!*'W3'!B182))</f>
        <v>#REF!</v>
      </c>
      <c r="I182" s="70" t="e">
        <f>IF(#REF!="No",(#REF!*C182/12*#REF!),(#REF!*'W3'!C182))</f>
        <v>#REF!</v>
      </c>
      <c r="J182" s="70" t="e">
        <f>IF(#REF!="No",(#REF!*D182/12*#REF!),(#REF!*'W3'!D182))</f>
        <v>#REF!</v>
      </c>
      <c r="K182" s="70" t="e">
        <f>IF(#REF!="No",(#REF!*E182/12*#REF!),(#REF!*'W3'!E182))</f>
        <v>#REF!</v>
      </c>
      <c r="L182" s="70" t="e">
        <f>IF(#REF!="No",(#REF!*F182/12*#REF!),(#REF!*'W3'!F182))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IF(#REF!="No",(#REF!*B183/12*#REF!),(#REF!*'W3'!B183))</f>
        <v>#REF!</v>
      </c>
      <c r="I183" s="70" t="e">
        <f>IF(#REF!="No",(#REF!*C183/12*#REF!),(#REF!*'W3'!C183))</f>
        <v>#REF!</v>
      </c>
      <c r="J183" s="70" t="e">
        <f>IF(#REF!="No",(#REF!*D183/12*#REF!),(#REF!*'W3'!D183))</f>
        <v>#REF!</v>
      </c>
      <c r="K183" s="70" t="e">
        <f>IF(#REF!="No",(#REF!*E183/12*#REF!),(#REF!*'W3'!E183))</f>
        <v>#REF!</v>
      </c>
      <c r="L183" s="70" t="e">
        <f>IF(#REF!="No",(#REF!*F183/12*#REF!),(#REF!*'W3'!F183))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IF(#REF!="No",(#REF!*B184/12*#REF!),(#REF!*'W3'!B184))</f>
        <v>#REF!</v>
      </c>
      <c r="I184" s="70" t="e">
        <f>IF(#REF!="No",(#REF!*C184/12*#REF!),(#REF!*'W3'!C184))</f>
        <v>#REF!</v>
      </c>
      <c r="J184" s="70" t="e">
        <f>IF(#REF!="No",(#REF!*D184/12*#REF!),(#REF!*'W3'!D184))</f>
        <v>#REF!</v>
      </c>
      <c r="K184" s="70" t="e">
        <f>IF(#REF!="No",(#REF!*E184/12*#REF!),(#REF!*'W3'!E184))</f>
        <v>#REF!</v>
      </c>
      <c r="L184" s="70" t="e">
        <f>IF(#REF!="No",(#REF!*F184/12*#REF!),(#REF!*'W3'!F184))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IF(#REF!="No",(#REF!*B185/12*#REF!),(#REF!*'W3'!B185))</f>
        <v>#REF!</v>
      </c>
      <c r="I185" s="70" t="e">
        <f>IF(#REF!="No",(#REF!*C185/12*#REF!),(#REF!*'W3'!C185))</f>
        <v>#REF!</v>
      </c>
      <c r="J185" s="70" t="e">
        <f>IF(#REF!="No",(#REF!*D185/12*#REF!),(#REF!*'W3'!D185))</f>
        <v>#REF!</v>
      </c>
      <c r="K185" s="70" t="e">
        <f>IF(#REF!="No",(#REF!*E185/12*#REF!),(#REF!*'W3'!E185))</f>
        <v>#REF!</v>
      </c>
      <c r="L185" s="70" t="e">
        <f>IF(#REF!="No",(#REF!*F185/12*#REF!),(#REF!*'W3'!F185))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IF(#REF!="No",(#REF!*B186/12*#REF!),(#REF!*'W3'!B186))</f>
        <v>#REF!</v>
      </c>
      <c r="I186" s="70" t="e">
        <f>IF(#REF!="No",(#REF!*C186/12*#REF!),(#REF!*'W3'!C186))</f>
        <v>#REF!</v>
      </c>
      <c r="J186" s="70" t="e">
        <f>IF(#REF!="No",(#REF!*D186/12*#REF!),(#REF!*'W3'!D186))</f>
        <v>#REF!</v>
      </c>
      <c r="K186" s="70" t="e">
        <f>IF(#REF!="No",(#REF!*E186/12*#REF!),(#REF!*'W3'!E186))</f>
        <v>#REF!</v>
      </c>
      <c r="L186" s="70" t="e">
        <f>IF(#REF!="No",(#REF!*F186/12*#REF!),(#REF!*'W3'!F186))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IF(#REF!="No",(#REF!*B187/12*#REF!),(#REF!*'W3'!B187))</f>
        <v>#REF!</v>
      </c>
      <c r="I187" s="70" t="e">
        <f>IF(#REF!="No",(#REF!*C187/12*#REF!),(#REF!*'W3'!C187))</f>
        <v>#REF!</v>
      </c>
      <c r="J187" s="70" t="e">
        <f>IF(#REF!="No",(#REF!*D187/12*#REF!),(#REF!*'W3'!D187))</f>
        <v>#REF!</v>
      </c>
      <c r="K187" s="70" t="e">
        <f>IF(#REF!="No",(#REF!*E187/12*#REF!),(#REF!*'W3'!E187))</f>
        <v>#REF!</v>
      </c>
      <c r="L187" s="70" t="e">
        <f>IF(#REF!="No",(#REF!*F187/12*#REF!),(#REF!*'W3'!F187))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IF(#REF!="No",(#REF!*B188/12*#REF!),(#REF!*'W3'!B188))</f>
        <v>#REF!</v>
      </c>
      <c r="I188" s="70" t="e">
        <f>IF(#REF!="No",(#REF!*C188/12*#REF!),(#REF!*'W3'!C188))</f>
        <v>#REF!</v>
      </c>
      <c r="J188" s="70" t="e">
        <f>IF(#REF!="No",(#REF!*D188/12*#REF!),(#REF!*'W3'!D188))</f>
        <v>#REF!</v>
      </c>
      <c r="K188" s="70" t="e">
        <f>IF(#REF!="No",(#REF!*E188/12*#REF!),(#REF!*'W3'!E188))</f>
        <v>#REF!</v>
      </c>
      <c r="L188" s="70" t="e">
        <f>IF(#REF!="No",(#REF!*F188/12*#REF!),(#REF!*'W3'!F188))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IF(#REF!="No",(#REF!*B189/12*#REF!),(#REF!*'W3'!B189))</f>
        <v>#REF!</v>
      </c>
      <c r="I189" s="70" t="e">
        <f>IF(#REF!="No",(#REF!*C189/12*#REF!),(#REF!*'W3'!C189))</f>
        <v>#REF!</v>
      </c>
      <c r="J189" s="70" t="e">
        <f>IF(#REF!="No",(#REF!*D189/12*#REF!),(#REF!*'W3'!D189))</f>
        <v>#REF!</v>
      </c>
      <c r="K189" s="70" t="e">
        <f>IF(#REF!="No",(#REF!*E189/12*#REF!),(#REF!*'W3'!E189))</f>
        <v>#REF!</v>
      </c>
      <c r="L189" s="70" t="e">
        <f>IF(#REF!="No",(#REF!*F189/12*#REF!),(#REF!*'W3'!F189))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IF(#REF!="No",(#REF!*B190/12*#REF!),(#REF!*'W3'!B190))</f>
        <v>#REF!</v>
      </c>
      <c r="I190" s="70" t="e">
        <f>IF(#REF!="No",(#REF!*C190/12*#REF!),(#REF!*'W3'!C190))</f>
        <v>#REF!</v>
      </c>
      <c r="J190" s="70" t="e">
        <f>IF(#REF!="No",(#REF!*D190/12*#REF!),(#REF!*'W3'!D190))</f>
        <v>#REF!</v>
      </c>
      <c r="K190" s="70" t="e">
        <f>IF(#REF!="No",(#REF!*E190/12*#REF!),(#REF!*'W3'!E190))</f>
        <v>#REF!</v>
      </c>
      <c r="L190" s="70" t="e">
        <f>IF(#REF!="No",(#REF!*F190/12*#REF!),(#REF!*'W3'!F190))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IF(#REF!="No",(#REF!*B191/12*#REF!),(#REF!*'W3'!B191))</f>
        <v>#REF!</v>
      </c>
      <c r="I191" s="70" t="e">
        <f>IF(#REF!="No",(#REF!*C191/12*#REF!),(#REF!*'W3'!C191))</f>
        <v>#REF!</v>
      </c>
      <c r="J191" s="70" t="e">
        <f>IF(#REF!="No",(#REF!*D191/12*#REF!),(#REF!*'W3'!D191))</f>
        <v>#REF!</v>
      </c>
      <c r="K191" s="70" t="e">
        <f>IF(#REF!="No",(#REF!*E191/12*#REF!),(#REF!*'W3'!E191))</f>
        <v>#REF!</v>
      </c>
      <c r="L191" s="70" t="e">
        <f>IF(#REF!="No",(#REF!*F191/12*#REF!),(#REF!*'W3'!F191))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IF(#REF!="No",(#REF!*B192/12*#REF!),(#REF!*'W3'!B192))</f>
        <v>#REF!</v>
      </c>
      <c r="I192" s="70" t="e">
        <f>IF(#REF!="No",(#REF!*C192/12*#REF!),(#REF!*'W3'!C192))</f>
        <v>#REF!</v>
      </c>
      <c r="J192" s="70" t="e">
        <f>IF(#REF!="No",(#REF!*D192/12*#REF!),(#REF!*'W3'!D192))</f>
        <v>#REF!</v>
      </c>
      <c r="K192" s="70" t="e">
        <f>IF(#REF!="No",(#REF!*E192/12*#REF!),(#REF!*'W3'!E192))</f>
        <v>#REF!</v>
      </c>
      <c r="L192" s="70" t="e">
        <f>IF(#REF!="No",(#REF!*F192/12*#REF!),(#REF!*'W3'!F192))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IF(#REF!="No",(#REF!*B193/12*#REF!),(#REF!*'W3'!B193))</f>
        <v>#REF!</v>
      </c>
      <c r="I193" s="70" t="e">
        <f>IF(#REF!="No",(#REF!*C193/12*#REF!),(#REF!*'W3'!C193))</f>
        <v>#REF!</v>
      </c>
      <c r="J193" s="70" t="e">
        <f>IF(#REF!="No",(#REF!*D193/12*#REF!),(#REF!*'W3'!D193))</f>
        <v>#REF!</v>
      </c>
      <c r="K193" s="70" t="e">
        <f>IF(#REF!="No",(#REF!*E193/12*#REF!),(#REF!*'W3'!E193))</f>
        <v>#REF!</v>
      </c>
      <c r="L193" s="70" t="e">
        <f>IF(#REF!="No",(#REF!*F193/12*#REF!),(#REF!*'W3'!F193))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IF(#REF!="No",(#REF!*B194/12*#REF!),(#REF!*'W3'!B194))</f>
        <v>#REF!</v>
      </c>
      <c r="I194" s="70" t="e">
        <f>IF(#REF!="No",(#REF!*C194/12*#REF!),(#REF!*'W3'!C194))</f>
        <v>#REF!</v>
      </c>
      <c r="J194" s="70" t="e">
        <f>IF(#REF!="No",(#REF!*D194/12*#REF!),(#REF!*'W3'!D194))</f>
        <v>#REF!</v>
      </c>
      <c r="K194" s="70" t="e">
        <f>IF(#REF!="No",(#REF!*E194/12*#REF!),(#REF!*'W3'!E194))</f>
        <v>#REF!</v>
      </c>
      <c r="L194" s="70" t="e">
        <f>IF(#REF!="No",(#REF!*F194/12*#REF!),(#REF!*'W3'!F194))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IF(#REF!="No",(#REF!*B195/12*#REF!),(#REF!*'W3'!B195))</f>
        <v>#REF!</v>
      </c>
      <c r="I195" s="70" t="e">
        <f>IF(#REF!="No",(#REF!*C195/12*#REF!),(#REF!*'W3'!C195))</f>
        <v>#REF!</v>
      </c>
      <c r="J195" s="70" t="e">
        <f>IF(#REF!="No",(#REF!*D195/12*#REF!),(#REF!*'W3'!D195))</f>
        <v>#REF!</v>
      </c>
      <c r="K195" s="70" t="e">
        <f>IF(#REF!="No",(#REF!*E195/12*#REF!),(#REF!*'W3'!E195))</f>
        <v>#REF!</v>
      </c>
      <c r="L195" s="70" t="e">
        <f>IF(#REF!="No",(#REF!*F195/12*#REF!),(#REF!*'W3'!F195))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IF(#REF!="No",(#REF!*B196/12*#REF!),(#REF!*'W3'!B196))</f>
        <v>#REF!</v>
      </c>
      <c r="I196" s="70" t="e">
        <f>IF(#REF!="No",(#REF!*C196/12*#REF!),(#REF!*'W3'!C196))</f>
        <v>#REF!</v>
      </c>
      <c r="J196" s="70" t="e">
        <f>IF(#REF!="No",(#REF!*D196/12*#REF!),(#REF!*'W3'!D196))</f>
        <v>#REF!</v>
      </c>
      <c r="K196" s="70" t="e">
        <f>IF(#REF!="No",(#REF!*E196/12*#REF!),(#REF!*'W3'!E196))</f>
        <v>#REF!</v>
      </c>
      <c r="L196" s="70" t="e">
        <f>IF(#REF!="No",(#REF!*F196/12*#REF!),(#REF!*'W3'!F196))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IF(#REF!="No",(#REF!*B197/12*#REF!),(#REF!*'W3'!B197))</f>
        <v>#REF!</v>
      </c>
      <c r="I197" s="70" t="e">
        <f>IF(#REF!="No",(#REF!*C197/12*#REF!),(#REF!*'W3'!C197))</f>
        <v>#REF!</v>
      </c>
      <c r="J197" s="70" t="e">
        <f>IF(#REF!="No",(#REF!*D197/12*#REF!),(#REF!*'W3'!D197))</f>
        <v>#REF!</v>
      </c>
      <c r="K197" s="70" t="e">
        <f>IF(#REF!="No",(#REF!*E197/12*#REF!),(#REF!*'W3'!E197))</f>
        <v>#REF!</v>
      </c>
      <c r="L197" s="70" t="e">
        <f>IF(#REF!="No",(#REF!*F197/12*#REF!),(#REF!*'W3'!F197))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IF(#REF!="No",(#REF!*B198/12*#REF!),(#REF!*'W3'!B198))</f>
        <v>#REF!</v>
      </c>
      <c r="I198" s="70" t="e">
        <f>IF(#REF!="No",(#REF!*C198/12*#REF!),(#REF!*'W3'!C198))</f>
        <v>#REF!</v>
      </c>
      <c r="J198" s="70" t="e">
        <f>IF(#REF!="No",(#REF!*D198/12*#REF!),(#REF!*'W3'!D198))</f>
        <v>#REF!</v>
      </c>
      <c r="K198" s="70" t="e">
        <f>IF(#REF!="No",(#REF!*E198/12*#REF!),(#REF!*'W3'!E198))</f>
        <v>#REF!</v>
      </c>
      <c r="L198" s="70" t="e">
        <f>IF(#REF!="No",(#REF!*F198/12*#REF!),(#REF!*'W3'!F198))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IF(#REF!="No",(#REF!*B199/12*#REF!),(#REF!*'W3'!B199))</f>
        <v>#REF!</v>
      </c>
      <c r="I199" s="70" t="e">
        <f>IF(#REF!="No",(#REF!*C199/12*#REF!),(#REF!*'W3'!C199))</f>
        <v>#REF!</v>
      </c>
      <c r="J199" s="70" t="e">
        <f>IF(#REF!="No",(#REF!*D199/12*#REF!),(#REF!*'W3'!D199))</f>
        <v>#REF!</v>
      </c>
      <c r="K199" s="70" t="e">
        <f>IF(#REF!="No",(#REF!*E199/12*#REF!),(#REF!*'W3'!E199))</f>
        <v>#REF!</v>
      </c>
      <c r="L199" s="70" t="e">
        <f>IF(#REF!="No",(#REF!*F199/12*#REF!),(#REF!*'W3'!F199))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IF(#REF!="No",(#REF!*B200/12*#REF!),(#REF!*'W3'!B200))</f>
        <v>#REF!</v>
      </c>
      <c r="I200" s="70" t="e">
        <f>IF(#REF!="No",(#REF!*C200/12*#REF!),(#REF!*'W3'!C200))</f>
        <v>#REF!</v>
      </c>
      <c r="J200" s="70" t="e">
        <f>IF(#REF!="No",(#REF!*D200/12*#REF!),(#REF!*'W3'!D200))</f>
        <v>#REF!</v>
      </c>
      <c r="K200" s="70" t="e">
        <f>IF(#REF!="No",(#REF!*E200/12*#REF!),(#REF!*'W3'!E200))</f>
        <v>#REF!</v>
      </c>
      <c r="L200" s="70" t="e">
        <f>IF(#REF!="No",(#REF!*F200/12*#REF!),(#REF!*'W3'!F200))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ROUND(#REF!/'W3'!H177*'W3'!B248*'W3'!$B$247+#REF!/'W3'!H177*'W3'!C248*'W3'!C247,0)</f>
        <v>#REF!</v>
      </c>
      <c r="C301" s="300"/>
      <c r="D301" s="302" t="e">
        <f>ROUND(#REF!/(D248+E248)*'W3'!D248*'W3'!D$247+#REF!/(D248+E248)*'W3'!E248*'W3'!E$247,0)</f>
        <v>#REF!</v>
      </c>
      <c r="E301" s="300"/>
      <c r="F301" s="302" t="e">
        <f>ROUND(#REF!/(F248+G248)*'W3'!F248*'W3'!F$247+#REF!/(F248+G248)*'W3'!G248*'W3'!G$247,0)</f>
        <v>#REF!</v>
      </c>
      <c r="G301" s="300"/>
      <c r="H301" s="302" t="e">
        <f>ROUND(#REF!/(H248+I248)*'W3'!H248*'W3'!H$247+#REF!/(H248+I248)*'W3'!I248*'W3'!I$247,0)</f>
        <v>#REF!</v>
      </c>
      <c r="I301" s="300"/>
      <c r="J301" s="302" t="e">
        <f>IF(J275=0,"",ROUND(#REF!/(J248+K248)*'W3'!J248*'W3'!J$247+#REF!/(J248+K248)*'W3'!K248*'W3'!K$247,0))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ROUND(#REF!/'W3'!H178*'W3'!B249*'W3'!$B$247+#REF!/'W3'!H178*'W3'!C249*'W3'!$C$247,0)</f>
        <v>#REF!</v>
      </c>
      <c r="C302" s="300"/>
      <c r="D302" s="302" t="e">
        <f>ROUND(#REF!/(D249+E249)*'W3'!D249*'W3'!D$247+#REF!/(D249+E249)*'W3'!E249*'W3'!E$247,0)</f>
        <v>#REF!</v>
      </c>
      <c r="E302" s="300"/>
      <c r="F302" s="302" t="e">
        <f>ROUND(#REF!/(F249+G249)*'W3'!F249*'W3'!F$247+#REF!/(F249+G249)*'W3'!G249*'W3'!G$247,0)</f>
        <v>#REF!</v>
      </c>
      <c r="G302" s="300"/>
      <c r="H302" s="302" t="e">
        <f>ROUND(#REF!/(H249+I249)*'W3'!H249*'W3'!H$247+#REF!/(H249+I249)*'W3'!I249*'W3'!I$247,0)</f>
        <v>#REF!</v>
      </c>
      <c r="I302" s="300"/>
      <c r="J302" s="302" t="e">
        <f>IF(J276=0,"",ROUND(#REF!/(J249+K249)*'W3'!J249*'W3'!J$247+#REF!/(J249+K249)*'W3'!K249*'W3'!K$247,0))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ROUND(#REF!/'W3'!H179*'W3'!B250*'W3'!$B$247+#REF!/'W3'!H179*'W3'!C250*'W3'!$C$247,0)</f>
        <v>#REF!</v>
      </c>
      <c r="C303" s="300"/>
      <c r="D303" s="302" t="e">
        <f>ROUND(#REF!/(D250+E250)*'W3'!D250*'W3'!D$247+#REF!/(D250+E250)*'W3'!E250*'W3'!E$247,0)</f>
        <v>#REF!</v>
      </c>
      <c r="E303" s="300"/>
      <c r="F303" s="302" t="e">
        <f>ROUND(#REF!/(F250+G250)*'W3'!F250*'W3'!F$247+#REF!/(F250+G250)*'W3'!G250*'W3'!G$247,0)</f>
        <v>#REF!</v>
      </c>
      <c r="G303" s="300"/>
      <c r="H303" s="302" t="e">
        <f>ROUND(#REF!/(H250+I250)*'W3'!H250*'W3'!H$247+#REF!/(H250+I250)*'W3'!I250*'W3'!I$247,0)</f>
        <v>#REF!</v>
      </c>
      <c r="I303" s="300"/>
      <c r="J303" s="302" t="e">
        <f>IF(J277=0,"",ROUND(#REF!/(J250+K250)*'W3'!J250*'W3'!J$247+#REF!/(J250+K250)*'W3'!K250*'W3'!K$247,0))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ROUND(#REF!/'W3'!H180*'W3'!B251*'W3'!$B$247+#REF!/'W3'!H180*'W3'!C251*'W3'!$C$247,0)</f>
        <v>#REF!</v>
      </c>
      <c r="C304" s="300"/>
      <c r="D304" s="302" t="e">
        <f>ROUND(#REF!/(D251+E251)*'W3'!D251*'W3'!D$247+#REF!/(D251+E251)*'W3'!E251*'W3'!E$247,0)</f>
        <v>#REF!</v>
      </c>
      <c r="E304" s="300"/>
      <c r="F304" s="302" t="e">
        <f>ROUND(#REF!/(F251+G251)*'W3'!F251*'W3'!F$247+#REF!/(F251+G251)*'W3'!G251*'W3'!G$247,0)</f>
        <v>#REF!</v>
      </c>
      <c r="G304" s="300"/>
      <c r="H304" s="302" t="e">
        <f>ROUND(#REF!/(H251+I251)*'W3'!H251*'W3'!H$247+#REF!/(H251+I251)*'W3'!I251*'W3'!I$247,0)</f>
        <v>#REF!</v>
      </c>
      <c r="I304" s="300"/>
      <c r="J304" s="302" t="e">
        <f>IF(J278=0,"",ROUND(#REF!/(J251+K251)*'W3'!J251*'W3'!J$247+#REF!/(J251+K251)*'W3'!K251*'W3'!K$247,0))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IF((B252+C252)&lt;&gt;0,ROUND(#REF!/'W3'!H181*'W3'!B252*'W3'!$B$247+#REF!/'W3'!H181*'W3'!C252*'W3'!$C$247,0),0)</f>
        <v>#REF!</v>
      </c>
      <c r="C305" s="300"/>
      <c r="D305" s="302" t="e">
        <f>ROUND(#REF!/(D252+E252)*'W3'!D252*'W3'!D$247+#REF!/(D252+E252)*'W3'!E252*'W3'!E$247,0)</f>
        <v>#REF!</v>
      </c>
      <c r="E305" s="300"/>
      <c r="F305" s="302" t="e">
        <f>ROUND(#REF!/(F252+G252)*'W3'!F252*'W3'!F$247+#REF!/(F252+G252)*'W3'!G252*'W3'!G$247,0)</f>
        <v>#REF!</v>
      </c>
      <c r="G305" s="300"/>
      <c r="H305" s="302" t="e">
        <f>ROUND(#REF!/(H252+I252)*'W3'!H252*'W3'!H$247+#REF!/(H252+I252)*'W3'!I252*'W3'!I$247,0)</f>
        <v>#REF!</v>
      </c>
      <c r="I305" s="300"/>
      <c r="J305" s="302" t="e">
        <f>IF(J279=0,"",ROUND(#REF!/(J252+K252)*'W3'!J252*'W3'!J$247+#REF!/(J252+K252)*'W3'!K252*'W3'!K$247,0))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IF((B253+C253)&lt;&gt;0,ROUND(#REF!/'W3'!H182*'W3'!B253*'W3'!$B$247+#REF!/'W3'!H182*'W3'!C253*'W3'!$C$247,0),0)</f>
        <v>#REF!</v>
      </c>
      <c r="C306" s="300"/>
      <c r="D306" s="302" t="e">
        <f>ROUND(#REF!/(D253+E253)*'W3'!D253*'W3'!D$247+#REF!/(D253+E253)*'W3'!E253*'W3'!E$247,0)</f>
        <v>#REF!</v>
      </c>
      <c r="E306" s="300"/>
      <c r="F306" s="302" t="e">
        <f>ROUND(#REF!/(F253+G253)*'W3'!F253*'W3'!F$247+#REF!/(F253+G253)*'W3'!G253*'W3'!G$247,0)</f>
        <v>#REF!</v>
      </c>
      <c r="G306" s="300"/>
      <c r="H306" s="302" t="e">
        <f>ROUND(#REF!/(H253+I253)*'W3'!H253*'W3'!H$247+#REF!/(H253+I253)*'W3'!I253*'W3'!I$247,0)</f>
        <v>#REF!</v>
      </c>
      <c r="I306" s="300"/>
      <c r="J306" s="302" t="e">
        <f>IF(J280=0,"",ROUND(#REF!/(J253+K253)*'W3'!J253*'W3'!J$247+#REF!/(J253+K253)*'W3'!K253*'W3'!K$247,0))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IF((B254+C254)&lt;&gt;0,ROUND(#REF!/'W3'!H183*'W3'!B254*'W3'!$B$247+#REF!/'W3'!H183*'W3'!C254*'W3'!$C$247,0),0)</f>
        <v>#REF!</v>
      </c>
      <c r="C307" s="300"/>
      <c r="D307" s="302" t="e">
        <f>ROUND(#REF!/(D254+E254)*'W3'!D254*'W3'!D$247+#REF!/(D254+E254)*'W3'!E254*'W3'!E$247,0)</f>
        <v>#REF!</v>
      </c>
      <c r="E307" s="300"/>
      <c r="F307" s="302" t="e">
        <f>ROUND(#REF!/(F254+G254)*'W3'!F254*'W3'!F$247+#REF!/(F254+G254)*'W3'!G254*'W3'!G$247,0)</f>
        <v>#REF!</v>
      </c>
      <c r="G307" s="300"/>
      <c r="H307" s="302" t="e">
        <f>ROUND(#REF!/(H254+I254)*'W3'!H254*'W3'!H$247+#REF!/(H254+I254)*'W3'!I254*'W3'!I$247,0)</f>
        <v>#REF!</v>
      </c>
      <c r="I307" s="300"/>
      <c r="J307" s="302" t="e">
        <f>IF(J281=0,"",ROUND(#REF!/(J254+K254)*'W3'!J254*'W3'!J$247+#REF!/(J254+K254)*'W3'!K254*'W3'!K$247,0))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IF((B255+C255)&lt;&gt;0,ROUND(#REF!/'W3'!H184*'W3'!B255*'W3'!$B$247+#REF!/'W3'!H184*'W3'!C255*'W3'!$C$247,0),0)</f>
        <v>#REF!</v>
      </c>
      <c r="C308" s="300"/>
      <c r="D308" s="302" t="e">
        <f>ROUND(#REF!/(D255+E255)*'W3'!D255*'W3'!D$247+#REF!/(D255+E255)*'W3'!E255*'W3'!E$247,0)</f>
        <v>#REF!</v>
      </c>
      <c r="E308" s="300"/>
      <c r="F308" s="302" t="e">
        <f>ROUND(#REF!/(F255+G255)*'W3'!F255*'W3'!F$247+#REF!/(F255+G255)*'W3'!G255*'W3'!G$247,0)</f>
        <v>#REF!</v>
      </c>
      <c r="G308" s="300"/>
      <c r="H308" s="302" t="e">
        <f>ROUND(#REF!/(H255+I255)*'W3'!H255*'W3'!H$247+#REF!/(H255+I255)*'W3'!I255*'W3'!I$247,0)</f>
        <v>#REF!</v>
      </c>
      <c r="I308" s="300"/>
      <c r="J308" s="302" t="e">
        <f>IF(J282=0,"",ROUND(#REF!/(J255+K255)*'W3'!J255*'W3'!J$247+#REF!/(J255+K255)*'W3'!K255*'W3'!K$247,0))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IF((B256+C256)&lt;&gt;0,ROUND(#REF!/'W3'!H185*'W3'!B256*'W3'!$B$247+#REF!/'W3'!H185*'W3'!C256*'W3'!$C$247,0),0)</f>
        <v>#REF!</v>
      </c>
      <c r="C309" s="300"/>
      <c r="D309" s="302" t="e">
        <f>ROUND(#REF!/(D256+E256)*'W3'!D256*'W3'!D$247+#REF!/(D256+E256)*'W3'!E256*'W3'!E$247,0)</f>
        <v>#REF!</v>
      </c>
      <c r="E309" s="300"/>
      <c r="F309" s="302" t="e">
        <f>ROUND(#REF!/(F256+G256)*'W3'!F256*'W3'!F$247+#REF!/(F256+G256)*'W3'!G256*'W3'!G$247,0)</f>
        <v>#REF!</v>
      </c>
      <c r="G309" s="300"/>
      <c r="H309" s="302" t="e">
        <f>ROUND(#REF!/(H256+I256)*'W3'!H256*'W3'!H$247+#REF!/(H256+I256)*'W3'!I256*'W3'!I$247,0)</f>
        <v>#REF!</v>
      </c>
      <c r="I309" s="300"/>
      <c r="J309" s="302" t="e">
        <f>IF(J283=0,"",ROUND(#REF!/(J256+K256)*'W3'!J256*'W3'!J$247+#REF!/(J256+K256)*'W3'!K256*'W3'!K$247,0))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IF((B257+C257)&lt;&gt;0,ROUND(#REF!/'W3'!H186*'W3'!B257*'W3'!$B$247+#REF!/'W3'!H186*'W3'!C257*'W3'!$C$247,0),0)</f>
        <v>#REF!</v>
      </c>
      <c r="C310" s="300"/>
      <c r="D310" s="302" t="e">
        <f>ROUND(#REF!/(D257+E257)*'W3'!D257*'W3'!D$247+#REF!/(D257+E257)*'W3'!E257*'W3'!E$247,0)</f>
        <v>#REF!</v>
      </c>
      <c r="E310" s="300"/>
      <c r="F310" s="302" t="e">
        <f>ROUND(#REF!/(F257+G257)*'W3'!F257*'W3'!F$247+#REF!/(F257+G257)*'W3'!G257*'W3'!G$247,0)</f>
        <v>#REF!</v>
      </c>
      <c r="G310" s="300"/>
      <c r="H310" s="302" t="e">
        <f>ROUND(#REF!/(H257+I257)*'W3'!H257*'W3'!H$247+#REF!/(H257+I257)*'W3'!I257*'W3'!I$247,0)</f>
        <v>#REF!</v>
      </c>
      <c r="I310" s="300"/>
      <c r="J310" s="302" t="e">
        <f>IF(J284=0,"",ROUND(#REF!/(J257+K257)*'W3'!J257*'W3'!J$247+#REF!/(J257+K257)*'W3'!K257*'W3'!K$247,0))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IF((B258+C258)&lt;&gt;0,ROUND(#REF!/'W3'!H187*'W3'!B258*'W3'!$B$247+#REF!/'W3'!H187*'W3'!C258*'W3'!$C$247,0),0)</f>
        <v>#REF!</v>
      </c>
      <c r="C311" s="300"/>
      <c r="D311" s="302" t="e">
        <f>ROUND(#REF!/(D258+E258)*'W3'!D258*'W3'!D$247+#REF!/(D258+E258)*'W3'!E258*'W3'!E$247,0)</f>
        <v>#REF!</v>
      </c>
      <c r="E311" s="300"/>
      <c r="F311" s="302" t="e">
        <f>ROUND(#REF!/(F258+G258)*'W3'!F258*'W3'!F$247+#REF!/(F258+G258)*'W3'!G258*'W3'!G$247,0)</f>
        <v>#REF!</v>
      </c>
      <c r="G311" s="300"/>
      <c r="H311" s="302" t="e">
        <f>ROUND(#REF!/(H258+I258)*'W3'!H258*'W3'!H$247+#REF!/(H258+I258)*'W3'!I258*'W3'!I$247,0)</f>
        <v>#REF!</v>
      </c>
      <c r="I311" s="300"/>
      <c r="J311" s="302" t="e">
        <f>IF(J285=0,"",ROUND(#REF!/(J258+K258)*'W3'!J258*'W3'!J$247+#REF!/(J258+K258)*'W3'!K258*'W3'!K$247,0))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IF((B259+C259)&lt;&gt;0,ROUND(#REF!/'W3'!H188*'W3'!B259*'W3'!$B$247+#REF!/'W3'!H188*'W3'!C259*'W3'!$C$247,0),0)</f>
        <v>#REF!</v>
      </c>
      <c r="C312" s="300"/>
      <c r="D312" s="302" t="e">
        <f>ROUND(#REF!/(D259+E259)*'W3'!D259*'W3'!D$247+#REF!/(D259+E259)*'W3'!E259*'W3'!E$247,0)</f>
        <v>#REF!</v>
      </c>
      <c r="E312" s="300"/>
      <c r="F312" s="302" t="e">
        <f>ROUND(#REF!/(F259+G259)*'W3'!F259*'W3'!F$247+#REF!/(F259+G259)*'W3'!G259*'W3'!G$247,0)</f>
        <v>#REF!</v>
      </c>
      <c r="G312" s="300"/>
      <c r="H312" s="302" t="e">
        <f>ROUND(#REF!/(H259+I259)*'W3'!H259*'W3'!H$247+#REF!/(H259+I259)*'W3'!I259*'W3'!I$247,0)</f>
        <v>#REF!</v>
      </c>
      <c r="I312" s="300"/>
      <c r="J312" s="302" t="e">
        <f>IF(J286=0,"",ROUND(#REF!/(J259+K259)*'W3'!J259*'W3'!J$247+#REF!/(J259+K259)*'W3'!K259*'W3'!K$247,0))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IF((B260+C260)&lt;&gt;0,ROUND(#REF!/'W3'!H189*'W3'!B260*'W3'!$B$247+#REF!/'W3'!H189*'W3'!C260*'W3'!$C$247,0),0)</f>
        <v>#REF!</v>
      </c>
      <c r="C313" s="300"/>
      <c r="D313" s="302" t="e">
        <f>ROUND(#REF!/(D260+E260)*'W3'!D260*'W3'!D$247+#REF!/(D260+E260)*'W3'!E260*'W3'!E$247,0)</f>
        <v>#REF!</v>
      </c>
      <c r="E313" s="300"/>
      <c r="F313" s="302" t="e">
        <f>ROUND(#REF!/(F260+G260)*'W3'!F260*'W3'!F$247+#REF!/(F260+G260)*'W3'!G260*'W3'!G$247,0)</f>
        <v>#REF!</v>
      </c>
      <c r="G313" s="300"/>
      <c r="H313" s="302" t="e">
        <f>ROUND(#REF!/(H260+I260)*'W3'!H260*'W3'!H$247+#REF!/(H260+I260)*'W3'!I260*'W3'!I$247,0)</f>
        <v>#REF!</v>
      </c>
      <c r="I313" s="300"/>
      <c r="J313" s="302" t="e">
        <f>IF(J287=0,"",ROUND(#REF!/(J260+K260)*'W3'!J260*'W3'!J$247+#REF!/(J260+K260)*'W3'!K260*'W3'!K$247,0))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IF((B261+C261)&lt;&gt;0,ROUND(#REF!/'W3'!H190*'W3'!B261*'W3'!$B$247+#REF!/'W3'!H190*'W3'!C261*'W3'!$C$247,0),0)</f>
        <v>#REF!</v>
      </c>
      <c r="C314" s="300"/>
      <c r="D314" s="302" t="e">
        <f>ROUND(#REF!/(D261+E261)*'W3'!D261*'W3'!D$247+#REF!/(D261+E261)*'W3'!E261*'W3'!E$247,0)</f>
        <v>#REF!</v>
      </c>
      <c r="E314" s="300"/>
      <c r="F314" s="302" t="e">
        <f>ROUND(#REF!/(F261+G261)*'W3'!F261*'W3'!F$247+#REF!/(F261+G261)*'W3'!G261*'W3'!G$247,0)</f>
        <v>#REF!</v>
      </c>
      <c r="G314" s="300"/>
      <c r="H314" s="302" t="e">
        <f>ROUND(#REF!/(H261+I261)*'W3'!H261*'W3'!H$247+#REF!/(H261+I261)*'W3'!I261*'W3'!I$247,0)</f>
        <v>#REF!</v>
      </c>
      <c r="I314" s="300"/>
      <c r="J314" s="302" t="e">
        <f>IF(J288=0,"",ROUND(#REF!/(J261+K261)*'W3'!J261*'W3'!J$247+#REF!/(J261+K261)*'W3'!K261*'W3'!K$247,0))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IF((B262+C262)&lt;&gt;0,ROUND(#REF!/'W3'!H191*'W3'!B262*'W3'!$B$247+#REF!/'W3'!H191*'W3'!C262*'W3'!$C$247,0),0)</f>
        <v>#REF!</v>
      </c>
      <c r="C315" s="300"/>
      <c r="D315" s="302" t="e">
        <f>ROUND(#REF!/(D262+E262)*'W3'!D262*'W3'!D$247+#REF!/(D262+E262)*'W3'!E262*'W3'!E$247,0)</f>
        <v>#REF!</v>
      </c>
      <c r="E315" s="300"/>
      <c r="F315" s="302" t="e">
        <f>ROUND(#REF!/(F262+G262)*'W3'!F262*'W3'!F$247+#REF!/(F262+G262)*'W3'!G262*'W3'!G$247,0)</f>
        <v>#REF!</v>
      </c>
      <c r="G315" s="300"/>
      <c r="H315" s="302" t="e">
        <f>ROUND(#REF!/(H262+I262)*'W3'!H262*'W3'!H$247+#REF!/(H262+I262)*'W3'!I262*'W3'!I$247,0)</f>
        <v>#REF!</v>
      </c>
      <c r="I315" s="300"/>
      <c r="J315" s="302" t="e">
        <f>IF(J289=0,"",ROUND(#REF!/(J262+K262)*'W3'!J262*'W3'!J$247+#REF!/(J262+K262)*'W3'!K262*'W3'!K$247,0))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IF((B263+C263)&lt;&gt;0,ROUND(#REF!/'W3'!H192*'W3'!B263*'W3'!$B$247+#REF!/'W3'!H192*'W3'!C263*'W3'!$C$247,0),0)</f>
        <v>#REF!</v>
      </c>
      <c r="C316" s="300"/>
      <c r="D316" s="302" t="e">
        <f>ROUND(#REF!/(D263+E263)*'W3'!D263*'W3'!D$247+#REF!/(D263+E263)*'W3'!E263*'W3'!E$247,0)</f>
        <v>#REF!</v>
      </c>
      <c r="E316" s="300"/>
      <c r="F316" s="302" t="e">
        <f>ROUND(#REF!/(F263+G263)*'W3'!F263*'W3'!F$247+#REF!/(F263+G263)*'W3'!G263*'W3'!G$247,0)</f>
        <v>#REF!</v>
      </c>
      <c r="G316" s="300"/>
      <c r="H316" s="302" t="e">
        <f>ROUND(#REF!/(H263+I263)*'W3'!H263*'W3'!H$247+#REF!/(H263+I263)*'W3'!I263*'W3'!I$247,0)</f>
        <v>#REF!</v>
      </c>
      <c r="I316" s="300"/>
      <c r="J316" s="302" t="e">
        <f>IF(J290=0,"",ROUND(#REF!/(J263+K263)*'W3'!J263*'W3'!J$247+#REF!/(J263+K263)*'W3'!K263*'W3'!K$247,0))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IF((B264+C264)&lt;&gt;0,ROUND(#REF!/'W3'!H193*'W3'!B264*'W3'!$B$247+#REF!/'W3'!H193*'W3'!C264*'W3'!$C$247,0),0)</f>
        <v>#REF!</v>
      </c>
      <c r="C317" s="300"/>
      <c r="D317" s="302" t="e">
        <f>ROUND(#REF!/(D264+E264)*'W3'!D264*'W3'!D$247+#REF!/(D264+E264)*'W3'!E264*'W3'!E$247,0)</f>
        <v>#REF!</v>
      </c>
      <c r="E317" s="300"/>
      <c r="F317" s="302" t="e">
        <f>ROUND(#REF!/(F264+G264)*'W3'!F264*'W3'!F$247+#REF!/(F264+G264)*'W3'!G264*'W3'!G$247,0)</f>
        <v>#REF!</v>
      </c>
      <c r="G317" s="300"/>
      <c r="H317" s="302" t="e">
        <f>ROUND(#REF!/(H264+I264)*'W3'!H264*'W3'!H$247+#REF!/(H264+I264)*'W3'!I264*'W3'!I$247,0)</f>
        <v>#REF!</v>
      </c>
      <c r="I317" s="300"/>
      <c r="J317" s="302" t="e">
        <f>IF(J291=0,"",ROUND(#REF!/(J264+K264)*'W3'!J264*'W3'!J$247+#REF!/(J264+K264)*'W3'!K264*'W3'!K$247,0))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IF((B265+C265)&lt;&gt;0,ROUND(#REF!/'W3'!H194*'W3'!B265*'W3'!$B$247+#REF!/'W3'!H194*'W3'!C265*'W3'!$C$247,0),0)</f>
        <v>#REF!</v>
      </c>
      <c r="C318" s="300"/>
      <c r="D318" s="302" t="e">
        <f>ROUND(#REF!/(D265+E265)*'W3'!D265*'W3'!D$247+#REF!/(D265+E265)*'W3'!E265*'W3'!E$247,0)</f>
        <v>#REF!</v>
      </c>
      <c r="E318" s="300"/>
      <c r="F318" s="302" t="e">
        <f>ROUND(#REF!/(F265+G265)*'W3'!F265*'W3'!F$247+#REF!/(F265+G265)*'W3'!G265*'W3'!G$247,0)</f>
        <v>#REF!</v>
      </c>
      <c r="G318" s="300"/>
      <c r="H318" s="302" t="e">
        <f>ROUND(#REF!/(H265+I265)*'W3'!H265*'W3'!H$247+#REF!/(H265+I265)*'W3'!I265*'W3'!I$247,0)</f>
        <v>#REF!</v>
      </c>
      <c r="I318" s="300"/>
      <c r="J318" s="302" t="e">
        <f>IF(J292=0,"",ROUND(#REF!/(J265+K265)*'W3'!J265*'W3'!J$247+#REF!/(J265+K265)*'W3'!K265*'W3'!K$247,0))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IF((B266+C266)&lt;&gt;0,ROUND(#REF!/'W3'!H195*'W3'!B266*'W3'!$B$247+#REF!/'W3'!H195*'W3'!C266*'W3'!$C$247,0),0)</f>
        <v>#REF!</v>
      </c>
      <c r="C319" s="300"/>
      <c r="D319" s="302" t="e">
        <f>ROUND(#REF!/(D266+E266)*'W3'!D266*'W3'!D$247+#REF!/(D266+E266)*'W3'!E266*'W3'!E$247,0)</f>
        <v>#REF!</v>
      </c>
      <c r="E319" s="300"/>
      <c r="F319" s="302" t="e">
        <f>ROUND(#REF!/(F266+G266)*'W3'!F266*'W3'!F$247+#REF!/(F266+G266)*'W3'!G266*'W3'!G$247,0)</f>
        <v>#REF!</v>
      </c>
      <c r="G319" s="300"/>
      <c r="H319" s="302" t="e">
        <f>ROUND(#REF!/(H266+I266)*'W3'!H266*'W3'!H$247+#REF!/(H266+I266)*'W3'!I266*'W3'!I$247,0)</f>
        <v>#REF!</v>
      </c>
      <c r="I319" s="300"/>
      <c r="J319" s="302" t="e">
        <f>IF(J293=0,"",ROUND(#REF!/(J266+K266)*'W3'!J266*'W3'!J$247+#REF!/(J266+K266)*'W3'!K266*'W3'!K$247,0))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IF((B267+C267)&lt;&gt;0,ROUND(#REF!/'W3'!H196*'W3'!B267*'W3'!$B$247+#REF!/'W3'!H196*'W3'!C267*'W3'!$C$247,0),0)</f>
        <v>#REF!</v>
      </c>
      <c r="C320" s="300"/>
      <c r="D320" s="302" t="e">
        <f>ROUND(#REF!/(D267+E267)*'W3'!D267*'W3'!D$247+#REF!/(D267+E267)*'W3'!E267*'W3'!E$247,0)</f>
        <v>#REF!</v>
      </c>
      <c r="E320" s="300"/>
      <c r="F320" s="302" t="e">
        <f>ROUND(#REF!/(F267+G267)*'W3'!F267*'W3'!F$247+#REF!/(F267+G267)*'W3'!G267*'W3'!G$247,0)</f>
        <v>#REF!</v>
      </c>
      <c r="G320" s="300"/>
      <c r="H320" s="302" t="e">
        <f>ROUND(#REF!/(H267+I267)*'W3'!H267*'W3'!H$247+#REF!/(H267+I267)*'W3'!I267*'W3'!I$247,0)</f>
        <v>#REF!</v>
      </c>
      <c r="I320" s="300"/>
      <c r="J320" s="302" t="e">
        <f>IF(J294=0,"",ROUND(#REF!/(J267+K267)*'W3'!J267*'W3'!J$247+#REF!/(J267+K267)*'W3'!K267*'W3'!K$247,0))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IF((B268+C268)&lt;&gt;0,ROUND(#REF!/'W3'!H197*'W3'!B268*'W3'!$B$247+#REF!/'W3'!H197*'W3'!C268*'W3'!$C$247,0),0)</f>
        <v>#REF!</v>
      </c>
      <c r="C321" s="300"/>
      <c r="D321" s="302" t="e">
        <f>ROUND(#REF!/(D268+E268)*'W3'!D268*'W3'!D$247+#REF!/(D268+E268)*'W3'!E268*'W3'!E$247,0)</f>
        <v>#REF!</v>
      </c>
      <c r="E321" s="300"/>
      <c r="F321" s="302" t="e">
        <f>ROUND(#REF!/(F268+G268)*'W3'!F268*'W3'!F$247+#REF!/(F268+G268)*'W3'!G268*'W3'!G$247,0)</f>
        <v>#REF!</v>
      </c>
      <c r="G321" s="300"/>
      <c r="H321" s="302" t="e">
        <f>ROUND(#REF!/(H268+I268)*'W3'!H268*'W3'!H$247+#REF!/(H268+I268)*'W3'!I268*'W3'!I$247,0)</f>
        <v>#REF!</v>
      </c>
      <c r="I321" s="300"/>
      <c r="J321" s="302" t="e">
        <f>IF(J295=0,"",ROUND(#REF!/(J268+K268)*'W3'!J268*'W3'!J$247+#REF!/(J268+K268)*'W3'!K268*'W3'!K$247,0))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IF((B269+C269)&lt;&gt;0,ROUND(#REF!/'W3'!H198*'W3'!B269*'W3'!$B$247+#REF!/'W3'!H198*'W3'!C269*'W3'!$C$247,0),0)</f>
        <v>#REF!</v>
      </c>
      <c r="C322" s="300"/>
      <c r="D322" s="302" t="e">
        <f>ROUND(#REF!/(D269+E269)*'W3'!D269*'W3'!D$247+#REF!/(D269+E269)*'W3'!E269*'W3'!E$247,0)</f>
        <v>#REF!</v>
      </c>
      <c r="E322" s="300"/>
      <c r="F322" s="302" t="e">
        <f>ROUND(#REF!/(F269+G269)*'W3'!F269*'W3'!F$247+#REF!/(F269+G269)*'W3'!G269*'W3'!G$247,0)</f>
        <v>#REF!</v>
      </c>
      <c r="G322" s="300"/>
      <c r="H322" s="302" t="e">
        <f>ROUND(#REF!/(H269+I269)*'W3'!H269*'W3'!H$247+#REF!/(H269+I269)*'W3'!I269*'W3'!I$247,0)</f>
        <v>#REF!</v>
      </c>
      <c r="I322" s="300"/>
      <c r="J322" s="302" t="e">
        <f>IF(J296=0,"",ROUND(#REF!/(J269+K269)*'W3'!J269*'W3'!J$247+#REF!/(J269+K269)*'W3'!K269*'W3'!K$247,0))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IF((B270+C270)&lt;&gt;0,ROUND(#REF!/'W3'!H199*'W3'!B270*'W3'!$B$247+#REF!/'W3'!H199*'W3'!C270*'W3'!$C$247,0),0)</f>
        <v>#REF!</v>
      </c>
      <c r="C323" s="300"/>
      <c r="D323" s="302" t="e">
        <f>ROUND(#REF!/(D270+E270)*'W3'!D270*'W3'!D$247+#REF!/(D270+E270)*'W3'!E270*'W3'!E$247,0)</f>
        <v>#REF!</v>
      </c>
      <c r="E323" s="300"/>
      <c r="F323" s="302" t="e">
        <f>ROUND(#REF!/(F270+G270)*'W3'!F270*'W3'!F$247+#REF!/(F270+G270)*'W3'!G270*'W3'!G$247,0)</f>
        <v>#REF!</v>
      </c>
      <c r="G323" s="300"/>
      <c r="H323" s="302" t="e">
        <f>ROUND(#REF!/(H270+I270)*'W3'!H270*'W3'!H$247+#REF!/(H270+I270)*'W3'!I270*'W3'!I$247,0)</f>
        <v>#REF!</v>
      </c>
      <c r="I323" s="300"/>
      <c r="J323" s="302" t="e">
        <f>IF(J297=0,"",ROUND(#REF!/(J270+K270)*'W3'!J270*'W3'!J$247+#REF!/(J270+K270)*'W3'!K270*'W3'!K$247,0))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IF((B271+C271)&lt;&gt;0,ROUND(#REF!/'W3'!H200*'W3'!B271*'W3'!$B$247+#REF!/'W3'!H200*'W3'!C271*'W3'!$C$247,0),0)</f>
        <v>#REF!</v>
      </c>
      <c r="C324" s="300"/>
      <c r="D324" s="302" t="e">
        <f>ROUND(#REF!/(D271+E271)*'W3'!D271*'W3'!D$247+#REF!/(D271+E271)*'W3'!E271*'W3'!E$247,0)</f>
        <v>#REF!</v>
      </c>
      <c r="E324" s="300"/>
      <c r="F324" s="302" t="e">
        <f>ROUND(#REF!/(F271+G271)*'W3'!F271*'W3'!F$247+#REF!/(F271+G271)*'W3'!G271*'W3'!G$247,0)</f>
        <v>#REF!</v>
      </c>
      <c r="G324" s="300"/>
      <c r="H324" s="302" t="e">
        <f>ROUND(#REF!/(H271+I271)*'W3'!H271*'W3'!H$247+#REF!/(H271+I271)*'W3'!I271*'W3'!I$247,0)</f>
        <v>#REF!</v>
      </c>
      <c r="I324" s="300"/>
      <c r="J324" s="302" t="e">
        <f>IF(J298=0,"",ROUND(#REF!/(J271+K271)*'W3'!J271*'W3'!J$247+#REF!/(J271+K271)*'W3'!K271*'W3'!K$247,0))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28" s="300"/>
      <c r="D328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28" s="300"/>
      <c r="F328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28" s="300"/>
      <c r="H328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28" s="300"/>
      <c r="J328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29" s="300"/>
      <c r="D329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29" s="300"/>
      <c r="F329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29" s="300"/>
      <c r="H329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29" s="300"/>
      <c r="J329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0" s="300"/>
      <c r="D330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0" s="300"/>
      <c r="F330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0" s="300"/>
      <c r="H330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0" s="300"/>
      <c r="J330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1" s="300"/>
      <c r="D331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1" s="300"/>
      <c r="F331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1" s="300"/>
      <c r="H331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1" s="300"/>
      <c r="J331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2" s="300"/>
      <c r="D332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2" s="300"/>
      <c r="F332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2" s="300"/>
      <c r="H332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2" s="300"/>
      <c r="J332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3" s="300"/>
      <c r="D333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3" s="300"/>
      <c r="F333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3" s="300"/>
      <c r="H333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3" s="300"/>
      <c r="J333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4" s="300"/>
      <c r="D334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4" s="300"/>
      <c r="F334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4" s="300"/>
      <c r="H334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4" s="300"/>
      <c r="J334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5" s="300"/>
      <c r="D335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5" s="300"/>
      <c r="F335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5" s="300"/>
      <c r="H335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5" s="300"/>
      <c r="J335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6" s="300"/>
      <c r="D336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6" s="300"/>
      <c r="F336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6" s="300"/>
      <c r="H336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6" s="300"/>
      <c r="J336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7" s="300"/>
      <c r="D337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7" s="300"/>
      <c r="F337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7" s="300"/>
      <c r="H337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7" s="300"/>
      <c r="J337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8" s="300"/>
      <c r="D338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8" s="300"/>
      <c r="F338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8" s="300"/>
      <c r="H338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8" s="300"/>
      <c r="J338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39" s="300"/>
      <c r="D339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39" s="300"/>
      <c r="F339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39" s="300"/>
      <c r="H339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39" s="300"/>
      <c r="J339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0" s="300"/>
      <c r="D340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0" s="300"/>
      <c r="F340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0" s="300"/>
      <c r="H340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0" s="300"/>
      <c r="J340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1" s="300"/>
      <c r="D341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1" s="300"/>
      <c r="F341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1" s="300"/>
      <c r="H341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1" s="300"/>
      <c r="J341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2" s="300"/>
      <c r="D342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2" s="300"/>
      <c r="F342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2" s="300"/>
      <c r="H342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2" s="300"/>
      <c r="J342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3" s="300"/>
      <c r="D343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3" s="300"/>
      <c r="F343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3" s="300"/>
      <c r="H343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3" s="300"/>
      <c r="J343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4" s="300"/>
      <c r="D344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4" s="300"/>
      <c r="F344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4" s="300"/>
      <c r="H344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4" s="300"/>
      <c r="J344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5" s="300"/>
      <c r="D345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5" s="300"/>
      <c r="F345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5" s="300"/>
      <c r="H345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5" s="300"/>
      <c r="J345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6" s="300"/>
      <c r="D346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6" s="300"/>
      <c r="F346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6" s="300"/>
      <c r="H346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6" s="300"/>
      <c r="J346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7" s="300"/>
      <c r="D347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7" s="300"/>
      <c r="F347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7" s="300"/>
      <c r="H347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7" s="300"/>
      <c r="J347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8" s="300"/>
      <c r="D348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8" s="300"/>
      <c r="F348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8" s="300"/>
      <c r="H348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8" s="300"/>
      <c r="J348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49" s="300"/>
      <c r="D349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49" s="300"/>
      <c r="F349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49" s="300"/>
      <c r="H349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49" s="300"/>
      <c r="J349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50" s="300"/>
      <c r="D350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50" s="300"/>
      <c r="F350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50" s="300"/>
      <c r="H350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50" s="300"/>
      <c r="J350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3'!$C$5=0,"",IF(AND(#REF!="Multi",#REF!="FY"),ROUND(((1+#REF!)^'W3'!$B$20*'W3'!$C$9+(1+#REF!)^('W3'!$B$20+1)*'W3'!$C$10)/('W3'!$C$5)*#REF!,0),(IF(AND(#REF!="Multi",#REF!="PY"),ROUND(#REF!/('W3'!$C$5)*'W3'!$C$5,0),(IF(AND(#REF!&lt;&gt;"Multi",#REF!="FY"),ROUND(((1+#REF!)^'W3'!$B$20*'W3'!$C$9+(1+#REF!)^('W3'!$B$20+1)*'W3'!$C$10)/'W3'!$C$5*#REF!,0),ROUND(#REF!/'W3'!$C$5*'W3'!$C$5,0)))))))</f>
        <v>#REF!</v>
      </c>
      <c r="C351" s="300"/>
      <c r="D351" s="302" t="e">
        <f>IF('W3'!$D$5=0,"",IF($C$4=$D$4,(IF(AND(#REF!="Multi",#REF!="FY"),ROUND(((1+#REF!)^('W3'!$B$20)*'W3'!$D$9+(1+#REF!)^('W3'!$B$20+1)*'W3'!$D$10)/'W3'!$D$5*#REF!,0),(IF(AND(#REF!="Multi",#REF!="PY"),ROUND(#REF!*(1+#REF!)/'W3'!$D$5*'W3'!$D$5,0),(IF(AND(#REF!&lt;&gt;"Multi",#REF!="FY"),ROUND(((1+#REF!)^('W3'!$B$20)*'W3'!$D$9+(1+#REF!)^('W3'!$B$20+1)*'W3'!$D$10)/'W3'!$D$5*#REF!,0),ROUND(#REF!*(1+#REF!)/'W3'!$D$5*'W3'!$D$5,0))))))),(IF(AND(#REF!="Multi",#REF!="FY"),ROUND(((1+#REF!)^('W3'!$B$20+1)*'W3'!$D$9+(1+#REF!)^('W3'!$B$20+2)*'W3'!$D$10)/'W3'!$D$5*#REF!,0),(IF(AND(#REF!="Multi",#REF!="PY"),ROUND(#REF!*(1+#REF!)/'W3'!$D$5*'W3'!$D$5,0),(IF(AND(#REF!&lt;&gt;"Multi",#REF!="FY"),ROUND(((1+#REF!)^('W3'!$B$20+1)*'W3'!$D$9+(1+#REF!)^('W3'!$B$20+2)*'W3'!$D$10)/'W3'!$D$5*#REF!,0),ROUND(#REF!*(1+#REF!)/'W3'!$D$5*'W3'!$D$5,0)))))))))</f>
        <v>#REF!</v>
      </c>
      <c r="E351" s="300"/>
      <c r="F351" s="302" t="e">
        <f>IF('W3'!$E$5=0,"",IF($C$4=$D$4,(IF(AND(#REF!="Multi",#REF!="FY"),ROUND(((1+#REF!)^('W3'!$B$20+1)*'W3'!$E$9+(1+#REF!)^('W3'!$B$20+3)*'W3'!$E$10)/'W3'!$E$5*#REF!,0),(IF(AND(#REF!="Multi",#REF!="PY"),ROUND(#REF!*((1+#REF!)^2)/'W3'!$E$5*'W3'!$E$5,0),(IF(AND(#REF!&lt;&gt;"Multi",#REF!="FY"),ROUND(((1+#REF!)^('W3'!$B$20+1)*'W3'!$E$9+(1+#REF!)^('W3'!$B$20+2)*'W3'!$E$10)/'W3'!$E$5*#REF!,0),ROUND(#REF!*((1+#REF!)^2)/'W3'!$E$5*'W3'!$E$5,0))))))),(IF(AND(#REF!="Multi",#REF!="FY"),ROUND(((1+#REF!)^('W3'!$B$20+2)*'W3'!$E$9+(1+#REF!)^('W3'!$B$20+3)*'W3'!$E$10)/'W3'!$E$5*#REF!,0),(IF(AND(#REF!="Multi",#REF!="PY"),ROUND(#REF!*((1+#REF!)^2)/'W3'!$E$5*'W3'!$E$5,0),(IF(AND(#REF!&lt;&gt;"Multi",#REF!="FY"),ROUND(((1+#REF!)^('W3'!$B$20+2)*'W3'!$E$9+(1+#REF!)^('W3'!$B$20+3)*'W3'!$E$10)/'W3'!$E$5*#REF!,0),ROUND(#REF!*((1+#REF!)^2)/'W3'!$E$5*'W3'!$E$5,0)))))))))</f>
        <v>#REF!</v>
      </c>
      <c r="G351" s="300"/>
      <c r="H351" s="302" t="e">
        <f>IF('W3'!$F$5=0,"",IF($C$4=$D$4,(IF(AND(#REF!="Multi",#REF!="FY"),ROUND(((1+#REF!)^('W3'!$B$20+2)*'W3'!$F$9+(1+#REF!)^('W3'!$B$20+3)*'W3'!$F$10)/'W3'!$F$5*#REF!,0),(IF(AND(#REF!="Multi",#REF!="PY"),ROUND(#REF!*((1+#REF!)^3)/'W3'!$F$5*'W3'!$F$5,0),(IF(AND(#REF!&lt;&gt;"Multi",#REF!="FY"),ROUND(((1+#REF!)^('W3'!$B$20+2)*'W3'!$F$9+(1+#REF!)^('W3'!$B$20+3)*'W3'!$F$10)/'W3'!$F$5*#REF!,0),ROUND(#REF!*((1+#REF!)^3)/'W3'!$F$5*'W3'!$F$5,0))))))),(IF(AND(#REF!="Multi",#REF!="FY"),ROUND(((1+#REF!)^('W3'!$B$20+3)*'W3'!$F$9+(1+#REF!)^('W3'!$B$20+4)*'W3'!$F$10)/'W3'!$F$5*#REF!,0),(IF(AND(#REF!="Multi",#REF!="PY"),ROUND(#REF!*((1+#REF!)^3)/'W3'!$F$5*'W3'!$F$5,0),(IF(AND(#REF!&lt;&gt;"Multi",#REF!="FY"),ROUND(((1+#REF!)^('W3'!$B$20+3)*'W3'!$F$9+(1+#REF!)^('W3'!$B$20+4)*'W3'!$F$10)/'W3'!$F$5*#REF!,0),ROUND(#REF!*((1+#REF!)^3)/'W3'!$F$5*'W3'!$F$5,0)))))))))</f>
        <v>#REF!</v>
      </c>
      <c r="I351" s="300"/>
      <c r="J351" s="302" t="e">
        <f>IF('W3'!$G$5=0,"",IF($C$4=$D$4,(IF(AND(#REF!="Multi",#REF!="FY"),ROUND(((1+#REF!)^('W3'!$B$20+3)*'W3'!$G$9+(1+#REF!)^('W3'!$B$20+4)*'W3'!$G$10)/'W3'!$G$5*#REF!,0),(IF(AND(#REF!="Multi",#REF!="PY"),ROUND(#REF!*((1+#REF!)^4)/'W3'!$G$5*'W3'!$G$5,0),(IF(AND(#REF!&lt;&gt;"Multi",#REF!="FY"),ROUND(((1+#REF!)^('W3'!$B$20+3)*'W3'!$G$9+(1+#REF!)^('W3'!$B$20+4)*'W3'!$G$10)/'W3'!$G$5*#REF!,0),ROUND(#REF!*((1+#REF!)^4)/'W3'!$G$5*'W3'!$G$5,0))))))),(IF(AND(#REF!="Multi",#REF!="FY"),ROUND(((1+#REF!)^('W3'!$B$20+4)*'W3'!$G$9+(1+#REF!)^('W3'!$B$20+5)*'W3'!$G$10)/'W3'!$G$5*#REF!,0),(IF(AND(#REF!="Multi",#REF!="PY"),ROUND(#REF!*((1+#REF!)^4)/'W3'!$G$5*'W3'!$G$5,0),(IF(AND(#REF!&lt;&gt;"Multi",#REF!="FY"),ROUND(((1+#REF!)^('W3'!$B$20+4)*'W3'!$G$9+(1+#REF!)^('W3'!$B$20+5)*'W3'!$G$10)/'W3'!$G$5*#REF!,0),ROUND(#REF!*((1+#REF!)^4)/'W3'!$G$5*'W3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83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2" workbookViewId="0">
      <selection activeCell="F35" sqref="F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IF(#REF!='W4'!A86,'W4'!B86,IF(#REF!='W4'!A87,'W4'!B87,IF(#REF!='W4'!A88,'W4'!B88,IF(#REF!='W4'!A89,'W4'!B89,IF(#REF!='W4'!A90,'W4'!B90,IF(#REF!='W4'!A91,'W4'!B91))))))</f>
        <v>#REF!</v>
      </c>
      <c r="C97" s="37" t="e">
        <f>IF(#REF!='W4'!A86,'W4'!C86,IF(#REF!='W4'!A87,'W4'!C87,IF(#REF!='W4'!A88,'W4'!C88,IF(#REF!='W4'!A89,'W4'!C89,IF(#REF!='W4'!A90,'W4'!C90,IF(#REF!='W4'!A91,'W4'!C91))))))</f>
        <v>#REF!</v>
      </c>
      <c r="D97" s="37" t="e">
        <f>IF(#REF!='W4'!$A$86,'W4'!D86,IF(#REF!='W4'!$A$87,'W4'!D87,IF(#REF!='W4'!$A$88,'W4'!D88,IF(#REF!='W4'!$A$89,'W4'!D89,IF(#REF!='W4'!$A$90,'W4'!D90,IF(#REF!='W4'!$A$91,'W4'!D91))))))</f>
        <v>#REF!</v>
      </c>
      <c r="E97" s="37" t="e">
        <f>IF(#REF!='W4'!$A$86,'W4'!E86,IF(#REF!='W4'!$A$87,'W4'!E87,IF(#REF!='W4'!$A$88,'W4'!E88,IF(#REF!='W4'!$A$89,'W4'!E89,IF(#REF!='W4'!$A$90,'W4'!E90,IF(#REF!='W4'!$A$91,'W4'!E91))))))</f>
        <v>#REF!</v>
      </c>
      <c r="F97" s="37" t="e">
        <f>IF(#REF!='W4'!$A$86,'W4'!F86,IF(#REF!='W4'!$A$87,'W4'!F87,IF(#REF!='W4'!$A$88,'W4'!F88,IF(#REF!='W4'!$A$89,'W4'!F89,IF(#REF!='W4'!$A$90,'W4'!F90,IF(#REF!='W4'!$A$91,'W4'!F91))))))</f>
        <v>#REF!</v>
      </c>
      <c r="G97" s="37" t="e">
        <f>IF(#REF!='W4'!$A$86,'W4'!G86,IF(#REF!='W4'!$A$87,'W4'!G87,IF(#REF!='W4'!$A$88,'W4'!G88,IF(#REF!='W4'!$A$89,'W4'!G89,IF(#REF!='W4'!$A$90,'W4'!G90,IF(#REF!='W4'!$A$91,'W4'!G91))))))</f>
        <v>#REF!</v>
      </c>
      <c r="H97" s="37" t="e">
        <f>IF(#REF!='W4'!$A$86,'W4'!H86,IF(#REF!='W4'!$A$87,'W4'!H87,IF(#REF!='W4'!$A$88,'W4'!H88,IF(#REF!='W4'!$A$89,'W4'!H89,IF(#REF!='W4'!$A$90,'W4'!H90,IF(#REF!='W4'!$A$91,'W4'!H91))))))</f>
        <v>#REF!</v>
      </c>
      <c r="I97" s="37" t="e">
        <f>IF(#REF!='W4'!$A$86,'W4'!I86,IF(#REF!='W4'!$A$87,'W4'!I87,IF(#REF!='W4'!$A$88,'W4'!I88,IF(#REF!='W4'!$A$89,'W4'!I89,IF(#REF!='W4'!$A$90,'W4'!I90,IF(#REF!='W4'!$A$91,'W4'!I91))))))</f>
        <v>#REF!</v>
      </c>
      <c r="J97" s="37" t="e">
        <f>IF(#REF!='W4'!$A$86,'W4'!J86,IF(#REF!='W4'!$A$87,'W4'!J87,IF(#REF!='W4'!$A$88,'W4'!J88,IF(#REF!='W4'!$A$89,'W4'!J89,IF(#REF!='W4'!$A$90,'W4'!J90,IF(#REF!='W4'!$A$91,'W4'!J91))))))</f>
        <v>#REF!</v>
      </c>
      <c r="K97" s="37" t="e">
        <f>IF(#REF!='W4'!$A$86,'W4'!K86,IF(#REF!='W4'!$A$87,'W4'!K87,IF(#REF!='W4'!$A$88,'W4'!K88,IF(#REF!='W4'!$A$89,'W4'!K89,IF(#REF!='W4'!$A$90,'W4'!K90,IF(#REF!='W4'!$A$91,'W4'!K91))))))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#REF!+#REF!+#REF!+#REF!+SUM(#REF!)+SUM(#REF!)+'W4'!C136</f>
        <v>#REF!</v>
      </c>
      <c r="D157" s="41" t="e">
        <f>IF(D4="",0,(#REF!+#REF!+#REF!+#REF!+SUM(#REF!)+SUM(#REF!)+'W4'!D136))</f>
        <v>#REF!</v>
      </c>
      <c r="E157" s="41" t="e">
        <f>IF(E4="",0,(#REF!+#REF!+#REF!+#REF!+SUM(#REF!)+SUM(#REF!)+'W4'!E136))</f>
        <v>#REF!</v>
      </c>
      <c r="F157" s="41" t="e">
        <f>IF(F4="",0,(#REF!+#REF!+#REF!+#REF!+SUM(#REF!)+SUM(#REF!)+'W4'!F136))</f>
        <v>#REF!</v>
      </c>
      <c r="G157" s="41" t="e">
        <f>IF(G4="",0,(#REF!+#REF!+#REF!+#REF!+SUM(#REF!)+SUM(#REF!)+'W4'!G136))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#REF!-#REF!+'W4'!C154</f>
        <v>#REF!</v>
      </c>
      <c r="D158" s="42" t="e">
        <f>IF(D4="",0,(#REF!-#REF!+'W4'!D154))</f>
        <v>#REF!</v>
      </c>
      <c r="E158" s="42" t="e">
        <f>IF(E4="",0,(#REF!-#REF!+'W4'!E154))</f>
        <v>#REF!</v>
      </c>
      <c r="F158" s="42" t="e">
        <f>IF(F4="",0,(#REF!-#REF!+'W4'!F154))</f>
        <v>#REF!</v>
      </c>
      <c r="G158" s="42" t="e">
        <f>IF(G4="",0,(#REF!-#REF!+'W4'!G154))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ROUND((#REF!-#REF!+'W4'!C154)/(1-#REF!),0)</f>
        <v>#REF!</v>
      </c>
      <c r="D159" s="41" t="e">
        <f>IF(D4="",0,(ROUND((#REF!-#REF!+'W4'!D154)/(1-#REF!),0)))</f>
        <v>#REF!</v>
      </c>
      <c r="E159" s="41" t="e">
        <f>IF(E4="",0,(ROUND((#REF!-#REF!+'W4'!E154)/(1-#REF!),0)))</f>
        <v>#REF!</v>
      </c>
      <c r="F159" s="41" t="e">
        <f>IF(F4="",0,(ROUND((#REF!-#REF!+'W4'!F154)/(1-#REF!),0)))</f>
        <v>#REF!</v>
      </c>
      <c r="G159" s="41" t="e">
        <f>IF(G4="",0,(ROUND((#REF!-#REF!+'W4'!G154)/(1-#REF!),0)))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IF(C$5=0,0,IF(#REF!="AY",(E162*C$27+F162*C$28)/C$29,'W4'!E162))</f>
        <v>#REF!</v>
      </c>
      <c r="L162" s="112" t="e">
        <f>IF(D$5=0,0,IF(#REF!="AY",(F162*D$27+G162*D$28)/D$29,'W4'!F162))</f>
        <v>#REF!</v>
      </c>
      <c r="M162" s="112" t="e">
        <f>IF(E$5=0,0,IF(#REF!="AY",(G162*E$27+H162*E$28)/E$29,'W4'!G162))</f>
        <v>#REF!</v>
      </c>
      <c r="N162" s="112" t="e">
        <f>IF(F$5=0,0,IF(#REF!="AY",(H162*F$27+I162*F$28)/F$29,'W4'!H162))</f>
        <v>#REF!</v>
      </c>
      <c r="O162" s="112" t="e">
        <f>IF(G$5=0,0,IF(#REF!="AY",(I162*G$27+J162*G$28)/G$29,'W4'!I162))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IF(C$5=0,0,IF(#REF!="AY",(E163*C$27+F163*C$28)/C$29,'W4'!E163))</f>
        <v>#REF!</v>
      </c>
      <c r="L163" s="112" t="e">
        <f>IF(D$5=0,0,IF(#REF!="AY",(F163*D$27+G163*D$28)/D$29,'W4'!F163))</f>
        <v>#REF!</v>
      </c>
      <c r="M163" s="112" t="e">
        <f>IF(E$5=0,0,IF(#REF!="AY",(G163*E$27+H163*E$28)/E$29,'W4'!G163))</f>
        <v>#REF!</v>
      </c>
      <c r="N163" s="112" t="e">
        <f>IF(F$5=0,0,IF(#REF!="AY",(H163*F$27+I163*F$28)/F$29,'W4'!H163))</f>
        <v>#REF!</v>
      </c>
      <c r="O163" s="112" t="e">
        <f>IF(G$5=0,0,IF(#REF!="AY",(I163*G$27+J163*G$28)/G$29,'W4'!I163))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IF(C$5=0,0,IF(#REF!="AY",(E164*C$27+F164*C$28)/C$29,'W4'!E164))</f>
        <v>#REF!</v>
      </c>
      <c r="L164" s="112" t="e">
        <f>IF(D$5=0,0,IF(#REF!="AY",(F164*D$27+G164*D$28)/D$29,'W4'!F164))</f>
        <v>#REF!</v>
      </c>
      <c r="M164" s="112" t="e">
        <f>IF(E$5=0,0,IF(#REF!="AY",(G164*E$27+H164*E$28)/E$29,'W4'!G164))</f>
        <v>#REF!</v>
      </c>
      <c r="N164" s="112" t="e">
        <f>IF(F$5=0,0,IF(#REF!="AY",(H164*F$27+I164*F$28)/F$29,'W4'!H164))</f>
        <v>#REF!</v>
      </c>
      <c r="O164" s="112" t="e">
        <f>IF(G$5=0,0,IF(#REF!="AY",(I164*G$27+J164*G$28)/G$29,'W4'!I164))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IF(C$5=0,0,IF(#REF!="AY",(E165*C$27+F165*C$28)/C$29,'W4'!E165))</f>
        <v>#REF!</v>
      </c>
      <c r="L165" s="112" t="e">
        <f>IF(D$5=0,0,IF(#REF!="AY",(F165*D$27+G165*D$28)/D$29,'W4'!F165))</f>
        <v>#REF!</v>
      </c>
      <c r="M165" s="112" t="e">
        <f>IF(E$5=0,0,IF(#REF!="AY",(G165*E$27+H165*E$28)/E$29,'W4'!G165))</f>
        <v>#REF!</v>
      </c>
      <c r="N165" s="112" t="e">
        <f>IF(F$5=0,0,IF(#REF!="AY",(H165*F$27+I165*F$28)/F$29,'W4'!H165))</f>
        <v>#REF!</v>
      </c>
      <c r="O165" s="112" t="e">
        <f>IF(G$5=0,0,IF(#REF!="AY",(I165*G$27+J165*G$28)/G$29,'W4'!I165))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IF(C$5=0,0,IF(#REF!="AY",(E166*C$27+F166*C$28)/C$29,'W4'!E166))</f>
        <v>#REF!</v>
      </c>
      <c r="L166" s="112" t="e">
        <f>IF(D$5=0,0,IF(#REF!="AY",(F166*D$27+G166*D$28)/D$29,'W4'!F166))</f>
        <v>#REF!</v>
      </c>
      <c r="M166" s="112" t="e">
        <f>IF(E$5=0,0,IF(#REF!="AY",(G166*E$27+H166*E$28)/E$29,'W4'!G166))</f>
        <v>#REF!</v>
      </c>
      <c r="N166" s="112" t="e">
        <f>IF(F$5=0,0,IF(#REF!="AY",(H166*F$27+I166*F$28)/F$29,'W4'!H166))</f>
        <v>#REF!</v>
      </c>
      <c r="O166" s="112" t="e">
        <f>IF(G$5=0,0,IF(#REF!="AY",(I166*G$27+J166*G$28)/G$29,'W4'!I166))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IF(C$5=0,0,IF(#REF!="AY",(E167*C$27+F167*C$28)/C$29,'W4'!E167))</f>
        <v>#REF!</v>
      </c>
      <c r="L167" s="112" t="e">
        <f>IF(D$5=0,0,IF(#REF!="AY",(F167*D$27+G167*D$28)/D$29,'W4'!F167))</f>
        <v>#REF!</v>
      </c>
      <c r="M167" s="112" t="e">
        <f>IF(E$5=0,0,IF(#REF!="AY",(G167*E$27+H167*E$28)/E$29,'W4'!G167))</f>
        <v>#REF!</v>
      </c>
      <c r="N167" s="112" t="e">
        <f>IF(F$5=0,0,IF(#REF!="AY",(H167*F$27+I167*F$28)/F$29,'W4'!H167))</f>
        <v>#REF!</v>
      </c>
      <c r="O167" s="112" t="e">
        <f>IF(G$5=0,0,IF(#REF!="AY",(I167*G$27+J167*G$28)/G$29,'W4'!I167))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IF(C$5=0,0,IF(#REF!="AY",(E168*C$27+F168*C$28)/C$29,'W4'!E168))</f>
        <v>#REF!</v>
      </c>
      <c r="L168" s="112" t="e">
        <f>IF(D$5=0,0,IF(#REF!="AY",(F168*D$27+G168*D$28)/D$29,'W4'!F168))</f>
        <v>#REF!</v>
      </c>
      <c r="M168" s="112" t="e">
        <f>IF(E$5=0,0,IF(#REF!="AY",(G168*E$27+H168*E$28)/E$29,'W4'!G168))</f>
        <v>#REF!</v>
      </c>
      <c r="N168" s="112" t="e">
        <f>IF(F$5=0,0,IF(#REF!="AY",(H168*F$27+I168*F$28)/F$29,'W4'!H168))</f>
        <v>#REF!</v>
      </c>
      <c r="O168" s="112" t="e">
        <f>IF(G$5=0,0,IF(#REF!="AY",(I168*G$27+J168*G$28)/G$29,'W4'!I168))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IF(C$5=0,0,IF(#REF!="AY",(E169*C$27+F169*C$28)/C$29,'W4'!E169))</f>
        <v>#REF!</v>
      </c>
      <c r="L169" s="112" t="e">
        <f>IF(D$5=0,0,IF(#REF!="AY",(F169*D$27+G169*D$28)/D$29,'W4'!F169))</f>
        <v>#REF!</v>
      </c>
      <c r="M169" s="112" t="e">
        <f>IF(E$5=0,0,IF(#REF!="AY",(G169*E$27+H169*E$28)/E$29,'W4'!G169))</f>
        <v>#REF!</v>
      </c>
      <c r="N169" s="112" t="e">
        <f>IF(F$5=0,0,IF(#REF!="AY",(H169*F$27+I169*F$28)/F$29,'W4'!H169))</f>
        <v>#REF!</v>
      </c>
      <c r="O169" s="112" t="e">
        <f>IF(G$5=0,0,IF(#REF!="AY",(I169*G$27+J169*G$28)/G$29,'W4'!I169))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IF(C$5=0,0,IF(#REF!="AY",(E170*C$27+F170*C$28)/C$29,'W4'!E170))</f>
        <v>#REF!</v>
      </c>
      <c r="L170" s="112" t="e">
        <f>IF(D$5=0,0,IF(#REF!="AY",(F170*D$27+G170*D$28)/D$29,'W4'!F170))</f>
        <v>#REF!</v>
      </c>
      <c r="M170" s="112" t="e">
        <f>IF(E$5=0,0,IF(#REF!="AY",(G170*E$27+H170*E$28)/E$29,'W4'!G170))</f>
        <v>#REF!</v>
      </c>
      <c r="N170" s="112" t="e">
        <f>IF(F$5=0,0,IF(#REF!="AY",(H170*F$27+I170*F$28)/F$29,'W4'!H170))</f>
        <v>#REF!</v>
      </c>
      <c r="O170" s="112" t="e">
        <f>IF(G$5=0,0,IF(#REF!="AY",(I170*G$27+J170*G$28)/G$29,'W4'!I170))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IF(C$5=0,0,IF(#REF!="AY",(E171*C$27+F171*C$28)/C$29,'W4'!E171))</f>
        <v>#REF!</v>
      </c>
      <c r="L171" s="112" t="e">
        <f>IF(D$5=0,0,IF(#REF!="AY",(F171*D$27+G171*D$28)/D$29,'W4'!F171))</f>
        <v>#REF!</v>
      </c>
      <c r="M171" s="112" t="e">
        <f>IF(E$5=0,0,IF(#REF!="AY",(G171*E$27+H171*E$28)/E$29,'W4'!G171))</f>
        <v>#REF!</v>
      </c>
      <c r="N171" s="112" t="e">
        <f>IF(F$5=0,0,IF(#REF!="AY",(H171*F$27+I171*F$28)/F$29,'W4'!H171))</f>
        <v>#REF!</v>
      </c>
      <c r="O171" s="112" t="e">
        <f>IF(G$5=0,0,IF(#REF!="AY",(I171*G$27+J171*G$28)/G$29,'W4'!I171))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IF(C$5=0,0,IF(#REF!="AY",(E172*C$27+F172*C$28)/C$29,'W4'!E172))</f>
        <v>#REF!</v>
      </c>
      <c r="L172" s="112" t="e">
        <f>IF(D$5=0,0,IF(#REF!="AY",(F172*D$27+G172*D$28)/D$29,'W4'!F172))</f>
        <v>#REF!</v>
      </c>
      <c r="M172" s="112" t="e">
        <f>IF(E$5=0,0,IF(#REF!="AY",(G172*E$27+H172*E$28)/E$29,'W4'!G172))</f>
        <v>#REF!</v>
      </c>
      <c r="N172" s="112" t="e">
        <f>IF(F$5=0,0,IF(#REF!="AY",(H172*F$27+I172*F$28)/F$29,'W4'!H172))</f>
        <v>#REF!</v>
      </c>
      <c r="O172" s="112" t="e">
        <f>IF(G$5=0,0,IF(#REF!="AY",(I172*G$27+J172*G$28)/G$29,'W4'!I172))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IF(C$5=0,0,IF(#REF!="AY",(E173*C$27+F173*C$28)/C$29,'W4'!E173))</f>
        <v>#REF!</v>
      </c>
      <c r="L173" s="112" t="e">
        <f>IF(D$5=0,0,IF(#REF!="AY",(F173*D$27+G173*D$28)/D$29,'W4'!F173))</f>
        <v>#REF!</v>
      </c>
      <c r="M173" s="112" t="e">
        <f>IF(E$5=0,0,IF(#REF!="AY",(G173*E$27+H173*E$28)/E$29,'W4'!G173))</f>
        <v>#REF!</v>
      </c>
      <c r="N173" s="112" t="e">
        <f>IF(F$5=0,0,IF(#REF!="AY",(H173*F$27+I173*F$28)/F$29,'W4'!H173))</f>
        <v>#REF!</v>
      </c>
      <c r="O173" s="112" t="e">
        <f>IF(G$5=0,0,IF(#REF!="AY",(I173*G$27+J173*G$28)/G$29,'W4'!I173))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IF(#REF!="No",(#REF!*B177/12*#REF!),(#REF!*'W4'!B177))</f>
        <v>#REF!</v>
      </c>
      <c r="I177" s="70" t="e">
        <f>IF(#REF!="No",(#REF!*C177/12*#REF!),(#REF!*'W4'!C177))</f>
        <v>#REF!</v>
      </c>
      <c r="J177" s="70" t="e">
        <f>IF(#REF!="No",(#REF!*D177/12*#REF!),(#REF!*'W4'!D177))</f>
        <v>#REF!</v>
      </c>
      <c r="K177" s="70" t="e">
        <f>IF(#REF!="No",(#REF!*E177/12*#REF!),(#REF!*'W4'!E177))</f>
        <v>#REF!</v>
      </c>
      <c r="L177" s="70" t="e">
        <f>IF(#REF!="No",(#REF!*F177/12*#REF!),(#REF!*'W4'!F177))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IF(#REF!="No",(#REF!*B178/12*#REF!),(#REF!*'W4'!B178))</f>
        <v>#REF!</v>
      </c>
      <c r="I178" s="70" t="e">
        <f>IF(#REF!="No",(#REF!*C178/12*#REF!),(#REF!*'W4'!C178))</f>
        <v>#REF!</v>
      </c>
      <c r="J178" s="70" t="e">
        <f>IF(#REF!="No",(#REF!*D178/12*#REF!),(#REF!*'W4'!D178))</f>
        <v>#REF!</v>
      </c>
      <c r="K178" s="70" t="e">
        <f>IF(#REF!="No",(#REF!*E178/12*#REF!),(#REF!*'W4'!E178))</f>
        <v>#REF!</v>
      </c>
      <c r="L178" s="70" t="e">
        <f>IF(#REF!="No",(#REF!*F178/12*#REF!),(#REF!*'W4'!F178))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IF(#REF!="No",(#REF!*B179/12*#REF!),(#REF!*'W4'!B179))</f>
        <v>#REF!</v>
      </c>
      <c r="I179" s="70" t="e">
        <f>IF(#REF!="No",(#REF!*C179/12*#REF!),(#REF!*'W4'!C179))</f>
        <v>#REF!</v>
      </c>
      <c r="J179" s="70" t="e">
        <f>IF(#REF!="No",(#REF!*D179/12*#REF!),(#REF!*'W4'!D179))</f>
        <v>#REF!</v>
      </c>
      <c r="K179" s="70" t="e">
        <f>IF(#REF!="No",(#REF!*E179/12*#REF!),(#REF!*'W4'!E179))</f>
        <v>#REF!</v>
      </c>
      <c r="L179" s="70" t="e">
        <f>IF(#REF!="No",(#REF!*F179/12*#REF!),(#REF!*'W4'!F179))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IF(#REF!="No",(#REF!*B180/12*#REF!),(#REF!*'W4'!B180))</f>
        <v>#REF!</v>
      </c>
      <c r="I180" s="70" t="e">
        <f>IF(#REF!="No",(#REF!*C180/12*#REF!),(#REF!*'W4'!C180))</f>
        <v>#REF!</v>
      </c>
      <c r="J180" s="70" t="e">
        <f>IF(#REF!="No",(#REF!*D180/12*#REF!),(#REF!*'W4'!D180))</f>
        <v>#REF!</v>
      </c>
      <c r="K180" s="70" t="e">
        <f>IF(#REF!="No",(#REF!*E180/12*#REF!),(#REF!*'W4'!E180))</f>
        <v>#REF!</v>
      </c>
      <c r="L180" s="70" t="e">
        <f>IF(#REF!="No",(#REF!*F180/12*#REF!),(#REF!*'W4'!F180))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IF(#REF!="No",(#REF!*B181/12*#REF!),(#REF!*'W4'!B181))</f>
        <v>#REF!</v>
      </c>
      <c r="I181" s="70" t="e">
        <f>IF(#REF!="No",(#REF!*C181/12*#REF!),(#REF!*'W4'!C181))</f>
        <v>#REF!</v>
      </c>
      <c r="J181" s="70" t="e">
        <f>IF(#REF!="No",(#REF!*D181/12*#REF!),(#REF!*'W4'!D181))</f>
        <v>#REF!</v>
      </c>
      <c r="K181" s="70" t="e">
        <f>IF(#REF!="No",(#REF!*E181/12*#REF!),(#REF!*'W4'!E181))</f>
        <v>#REF!</v>
      </c>
      <c r="L181" s="70" t="e">
        <f>IF(#REF!="No",(#REF!*F181/12*#REF!),(#REF!*'W4'!F181))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IF(#REF!="No",(#REF!*B182/12*#REF!),(#REF!*'W4'!B182))</f>
        <v>#REF!</v>
      </c>
      <c r="I182" s="70" t="e">
        <f>IF(#REF!="No",(#REF!*C182/12*#REF!),(#REF!*'W4'!C182))</f>
        <v>#REF!</v>
      </c>
      <c r="J182" s="70" t="e">
        <f>IF(#REF!="No",(#REF!*D182/12*#REF!),(#REF!*'W4'!D182))</f>
        <v>#REF!</v>
      </c>
      <c r="K182" s="70" t="e">
        <f>IF(#REF!="No",(#REF!*E182/12*#REF!),(#REF!*'W4'!E182))</f>
        <v>#REF!</v>
      </c>
      <c r="L182" s="70" t="e">
        <f>IF(#REF!="No",(#REF!*F182/12*#REF!),(#REF!*'W4'!F182))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IF(#REF!="No",(#REF!*B183/12*#REF!),(#REF!*'W4'!B183))</f>
        <v>#REF!</v>
      </c>
      <c r="I183" s="70" t="e">
        <f>IF(#REF!="No",(#REF!*C183/12*#REF!),(#REF!*'W4'!C183))</f>
        <v>#REF!</v>
      </c>
      <c r="J183" s="70" t="e">
        <f>IF(#REF!="No",(#REF!*D183/12*#REF!),(#REF!*'W4'!D183))</f>
        <v>#REF!</v>
      </c>
      <c r="K183" s="70" t="e">
        <f>IF(#REF!="No",(#REF!*E183/12*#REF!),(#REF!*'W4'!E183))</f>
        <v>#REF!</v>
      </c>
      <c r="L183" s="70" t="e">
        <f>IF(#REF!="No",(#REF!*F183/12*#REF!),(#REF!*'W4'!F183))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IF(#REF!="No",(#REF!*B184/12*#REF!),(#REF!*'W4'!B184))</f>
        <v>#REF!</v>
      </c>
      <c r="I184" s="70" t="e">
        <f>IF(#REF!="No",(#REF!*C184/12*#REF!),(#REF!*'W4'!C184))</f>
        <v>#REF!</v>
      </c>
      <c r="J184" s="70" t="e">
        <f>IF(#REF!="No",(#REF!*D184/12*#REF!),(#REF!*'W4'!D184))</f>
        <v>#REF!</v>
      </c>
      <c r="K184" s="70" t="e">
        <f>IF(#REF!="No",(#REF!*E184/12*#REF!),(#REF!*'W4'!E184))</f>
        <v>#REF!</v>
      </c>
      <c r="L184" s="70" t="e">
        <f>IF(#REF!="No",(#REF!*F184/12*#REF!),(#REF!*'W4'!F184))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IF(#REF!="No",(#REF!*B185/12*#REF!),(#REF!*'W4'!B185))</f>
        <v>#REF!</v>
      </c>
      <c r="I185" s="70" t="e">
        <f>IF(#REF!="No",(#REF!*C185/12*#REF!),(#REF!*'W4'!C185))</f>
        <v>#REF!</v>
      </c>
      <c r="J185" s="70" t="e">
        <f>IF(#REF!="No",(#REF!*D185/12*#REF!),(#REF!*'W4'!D185))</f>
        <v>#REF!</v>
      </c>
      <c r="K185" s="70" t="e">
        <f>IF(#REF!="No",(#REF!*E185/12*#REF!),(#REF!*'W4'!E185))</f>
        <v>#REF!</v>
      </c>
      <c r="L185" s="70" t="e">
        <f>IF(#REF!="No",(#REF!*F185/12*#REF!),(#REF!*'W4'!F185))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IF(#REF!="No",(#REF!*B186/12*#REF!),(#REF!*'W4'!B186))</f>
        <v>#REF!</v>
      </c>
      <c r="I186" s="70" t="e">
        <f>IF(#REF!="No",(#REF!*C186/12*#REF!),(#REF!*'W4'!C186))</f>
        <v>#REF!</v>
      </c>
      <c r="J186" s="70" t="e">
        <f>IF(#REF!="No",(#REF!*D186/12*#REF!),(#REF!*'W4'!D186))</f>
        <v>#REF!</v>
      </c>
      <c r="K186" s="70" t="e">
        <f>IF(#REF!="No",(#REF!*E186/12*#REF!),(#REF!*'W4'!E186))</f>
        <v>#REF!</v>
      </c>
      <c r="L186" s="70" t="e">
        <f>IF(#REF!="No",(#REF!*F186/12*#REF!),(#REF!*'W4'!F186))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IF(#REF!="No",(#REF!*B187/12*#REF!),(#REF!*'W4'!B187))</f>
        <v>#REF!</v>
      </c>
      <c r="I187" s="70" t="e">
        <f>IF(#REF!="No",(#REF!*C187/12*#REF!),(#REF!*'W4'!C187))</f>
        <v>#REF!</v>
      </c>
      <c r="J187" s="70" t="e">
        <f>IF(#REF!="No",(#REF!*D187/12*#REF!),(#REF!*'W4'!D187))</f>
        <v>#REF!</v>
      </c>
      <c r="K187" s="70" t="e">
        <f>IF(#REF!="No",(#REF!*E187/12*#REF!),(#REF!*'W4'!E187))</f>
        <v>#REF!</v>
      </c>
      <c r="L187" s="70" t="e">
        <f>IF(#REF!="No",(#REF!*F187/12*#REF!),(#REF!*'W4'!F187))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IF(#REF!="No",(#REF!*B188/12*#REF!),(#REF!*'W4'!B188))</f>
        <v>#REF!</v>
      </c>
      <c r="I188" s="70" t="e">
        <f>IF(#REF!="No",(#REF!*C188/12*#REF!),(#REF!*'W4'!C188))</f>
        <v>#REF!</v>
      </c>
      <c r="J188" s="70" t="e">
        <f>IF(#REF!="No",(#REF!*D188/12*#REF!),(#REF!*'W4'!D188))</f>
        <v>#REF!</v>
      </c>
      <c r="K188" s="70" t="e">
        <f>IF(#REF!="No",(#REF!*E188/12*#REF!),(#REF!*'W4'!E188))</f>
        <v>#REF!</v>
      </c>
      <c r="L188" s="70" t="e">
        <f>IF(#REF!="No",(#REF!*F188/12*#REF!),(#REF!*'W4'!F188))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IF(#REF!="No",(#REF!*B189/12*#REF!),(#REF!*'W4'!B189))</f>
        <v>#REF!</v>
      </c>
      <c r="I189" s="70" t="e">
        <f>IF(#REF!="No",(#REF!*C189/12*#REF!),(#REF!*'W4'!C189))</f>
        <v>#REF!</v>
      </c>
      <c r="J189" s="70" t="e">
        <f>IF(#REF!="No",(#REF!*D189/12*#REF!),(#REF!*'W4'!D189))</f>
        <v>#REF!</v>
      </c>
      <c r="K189" s="70" t="e">
        <f>IF(#REF!="No",(#REF!*E189/12*#REF!),(#REF!*'W4'!E189))</f>
        <v>#REF!</v>
      </c>
      <c r="L189" s="70" t="e">
        <f>IF(#REF!="No",(#REF!*F189/12*#REF!),(#REF!*'W4'!F189))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IF(#REF!="No",(#REF!*B190/12*#REF!),(#REF!*'W4'!B190))</f>
        <v>#REF!</v>
      </c>
      <c r="I190" s="70" t="e">
        <f>IF(#REF!="No",(#REF!*C190/12*#REF!),(#REF!*'W4'!C190))</f>
        <v>#REF!</v>
      </c>
      <c r="J190" s="70" t="e">
        <f>IF(#REF!="No",(#REF!*D190/12*#REF!),(#REF!*'W4'!D190))</f>
        <v>#REF!</v>
      </c>
      <c r="K190" s="70" t="e">
        <f>IF(#REF!="No",(#REF!*E190/12*#REF!),(#REF!*'W4'!E190))</f>
        <v>#REF!</v>
      </c>
      <c r="L190" s="70" t="e">
        <f>IF(#REF!="No",(#REF!*F190/12*#REF!),(#REF!*'W4'!F190))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IF(#REF!="No",(#REF!*B191/12*#REF!),(#REF!*'W4'!B191))</f>
        <v>#REF!</v>
      </c>
      <c r="I191" s="70" t="e">
        <f>IF(#REF!="No",(#REF!*C191/12*#REF!),(#REF!*'W4'!C191))</f>
        <v>#REF!</v>
      </c>
      <c r="J191" s="70" t="e">
        <f>IF(#REF!="No",(#REF!*D191/12*#REF!),(#REF!*'W4'!D191))</f>
        <v>#REF!</v>
      </c>
      <c r="K191" s="70" t="e">
        <f>IF(#REF!="No",(#REF!*E191/12*#REF!),(#REF!*'W4'!E191))</f>
        <v>#REF!</v>
      </c>
      <c r="L191" s="70" t="e">
        <f>IF(#REF!="No",(#REF!*F191/12*#REF!),(#REF!*'W4'!F191))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IF(#REF!="No",(#REF!*B192/12*#REF!),(#REF!*'W4'!B192))</f>
        <v>#REF!</v>
      </c>
      <c r="I192" s="70" t="e">
        <f>IF(#REF!="No",(#REF!*C192/12*#REF!),(#REF!*'W4'!C192))</f>
        <v>#REF!</v>
      </c>
      <c r="J192" s="70" t="e">
        <f>IF(#REF!="No",(#REF!*D192/12*#REF!),(#REF!*'W4'!D192))</f>
        <v>#REF!</v>
      </c>
      <c r="K192" s="70" t="e">
        <f>IF(#REF!="No",(#REF!*E192/12*#REF!),(#REF!*'W4'!E192))</f>
        <v>#REF!</v>
      </c>
      <c r="L192" s="70" t="e">
        <f>IF(#REF!="No",(#REF!*F192/12*#REF!),(#REF!*'W4'!F192))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IF(#REF!="No",(#REF!*B193/12*#REF!),(#REF!*'W4'!B193))</f>
        <v>#REF!</v>
      </c>
      <c r="I193" s="70" t="e">
        <f>IF(#REF!="No",(#REF!*C193/12*#REF!),(#REF!*'W4'!C193))</f>
        <v>#REF!</v>
      </c>
      <c r="J193" s="70" t="e">
        <f>IF(#REF!="No",(#REF!*D193/12*#REF!),(#REF!*'W4'!D193))</f>
        <v>#REF!</v>
      </c>
      <c r="K193" s="70" t="e">
        <f>IF(#REF!="No",(#REF!*E193/12*#REF!),(#REF!*'W4'!E193))</f>
        <v>#REF!</v>
      </c>
      <c r="L193" s="70" t="e">
        <f>IF(#REF!="No",(#REF!*F193/12*#REF!),(#REF!*'W4'!F193))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IF(#REF!="No",(#REF!*B194/12*#REF!),(#REF!*'W4'!B194))</f>
        <v>#REF!</v>
      </c>
      <c r="I194" s="70" t="e">
        <f>IF(#REF!="No",(#REF!*C194/12*#REF!),(#REF!*'W4'!C194))</f>
        <v>#REF!</v>
      </c>
      <c r="J194" s="70" t="e">
        <f>IF(#REF!="No",(#REF!*D194/12*#REF!),(#REF!*'W4'!D194))</f>
        <v>#REF!</v>
      </c>
      <c r="K194" s="70" t="e">
        <f>IF(#REF!="No",(#REF!*E194/12*#REF!),(#REF!*'W4'!E194))</f>
        <v>#REF!</v>
      </c>
      <c r="L194" s="70" t="e">
        <f>IF(#REF!="No",(#REF!*F194/12*#REF!),(#REF!*'W4'!F194))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IF(#REF!="No",(#REF!*B195/12*#REF!),(#REF!*'W4'!B195))</f>
        <v>#REF!</v>
      </c>
      <c r="I195" s="70" t="e">
        <f>IF(#REF!="No",(#REF!*C195/12*#REF!),(#REF!*'W4'!C195))</f>
        <v>#REF!</v>
      </c>
      <c r="J195" s="70" t="e">
        <f>IF(#REF!="No",(#REF!*D195/12*#REF!),(#REF!*'W4'!D195))</f>
        <v>#REF!</v>
      </c>
      <c r="K195" s="70" t="e">
        <f>IF(#REF!="No",(#REF!*E195/12*#REF!),(#REF!*'W4'!E195))</f>
        <v>#REF!</v>
      </c>
      <c r="L195" s="70" t="e">
        <f>IF(#REF!="No",(#REF!*F195/12*#REF!),(#REF!*'W4'!F195))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IF(#REF!="No",(#REF!*B196/12*#REF!),(#REF!*'W4'!B196))</f>
        <v>#REF!</v>
      </c>
      <c r="I196" s="70" t="e">
        <f>IF(#REF!="No",(#REF!*C196/12*#REF!),(#REF!*'W4'!C196))</f>
        <v>#REF!</v>
      </c>
      <c r="J196" s="70" t="e">
        <f>IF(#REF!="No",(#REF!*D196/12*#REF!),(#REF!*'W4'!D196))</f>
        <v>#REF!</v>
      </c>
      <c r="K196" s="70" t="e">
        <f>IF(#REF!="No",(#REF!*E196/12*#REF!),(#REF!*'W4'!E196))</f>
        <v>#REF!</v>
      </c>
      <c r="L196" s="70" t="e">
        <f>IF(#REF!="No",(#REF!*F196/12*#REF!),(#REF!*'W4'!F196))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IF(#REF!="No",(#REF!*B197/12*#REF!),(#REF!*'W4'!B197))</f>
        <v>#REF!</v>
      </c>
      <c r="I197" s="70" t="e">
        <f>IF(#REF!="No",(#REF!*C197/12*#REF!),(#REF!*'W4'!C197))</f>
        <v>#REF!</v>
      </c>
      <c r="J197" s="70" t="e">
        <f>IF(#REF!="No",(#REF!*D197/12*#REF!),(#REF!*'W4'!D197))</f>
        <v>#REF!</v>
      </c>
      <c r="K197" s="70" t="e">
        <f>IF(#REF!="No",(#REF!*E197/12*#REF!),(#REF!*'W4'!E197))</f>
        <v>#REF!</v>
      </c>
      <c r="L197" s="70" t="e">
        <f>IF(#REF!="No",(#REF!*F197/12*#REF!),(#REF!*'W4'!F197))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IF(#REF!="No",(#REF!*B198/12*#REF!),(#REF!*'W4'!B198))</f>
        <v>#REF!</v>
      </c>
      <c r="I198" s="70" t="e">
        <f>IF(#REF!="No",(#REF!*C198/12*#REF!),(#REF!*'W4'!C198))</f>
        <v>#REF!</v>
      </c>
      <c r="J198" s="70" t="e">
        <f>IF(#REF!="No",(#REF!*D198/12*#REF!),(#REF!*'W4'!D198))</f>
        <v>#REF!</v>
      </c>
      <c r="K198" s="70" t="e">
        <f>IF(#REF!="No",(#REF!*E198/12*#REF!),(#REF!*'W4'!E198))</f>
        <v>#REF!</v>
      </c>
      <c r="L198" s="70" t="e">
        <f>IF(#REF!="No",(#REF!*F198/12*#REF!),(#REF!*'W4'!F198))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IF(#REF!="No",(#REF!*B199/12*#REF!),(#REF!*'W4'!B199))</f>
        <v>#REF!</v>
      </c>
      <c r="I199" s="70" t="e">
        <f>IF(#REF!="No",(#REF!*C199/12*#REF!),(#REF!*'W4'!C199))</f>
        <v>#REF!</v>
      </c>
      <c r="J199" s="70" t="e">
        <f>IF(#REF!="No",(#REF!*D199/12*#REF!),(#REF!*'W4'!D199))</f>
        <v>#REF!</v>
      </c>
      <c r="K199" s="70" t="e">
        <f>IF(#REF!="No",(#REF!*E199/12*#REF!),(#REF!*'W4'!E199))</f>
        <v>#REF!</v>
      </c>
      <c r="L199" s="70" t="e">
        <f>IF(#REF!="No",(#REF!*F199/12*#REF!),(#REF!*'W4'!F199))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IF(#REF!="No",(#REF!*B200/12*#REF!),(#REF!*'W4'!B200))</f>
        <v>#REF!</v>
      </c>
      <c r="I200" s="70" t="e">
        <f>IF(#REF!="No",(#REF!*C200/12*#REF!),(#REF!*'W4'!C200))</f>
        <v>#REF!</v>
      </c>
      <c r="J200" s="70" t="e">
        <f>IF(#REF!="No",(#REF!*D200/12*#REF!),(#REF!*'W4'!D200))</f>
        <v>#REF!</v>
      </c>
      <c r="K200" s="70" t="e">
        <f>IF(#REF!="No",(#REF!*E200/12*#REF!),(#REF!*'W4'!E200))</f>
        <v>#REF!</v>
      </c>
      <c r="L200" s="70" t="e">
        <f>IF(#REF!="No",(#REF!*F200/12*#REF!),(#REF!*'W4'!F200))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ROUND(#REF!/'W4'!H177*'W4'!B248*'W4'!$B$247+#REF!/'W4'!H177*'W4'!C248*'W4'!C247,0)</f>
        <v>#REF!</v>
      </c>
      <c r="C301" s="300"/>
      <c r="D301" s="302" t="e">
        <f>ROUND(#REF!/(D248+E248)*'W4'!D248*'W4'!D$247+#REF!/(D248+E248)*'W4'!E248*'W4'!E$247,0)</f>
        <v>#REF!</v>
      </c>
      <c r="E301" s="300"/>
      <c r="F301" s="302" t="e">
        <f>ROUND(#REF!/(F248+G248)*'W4'!F248*'W4'!F$247+#REF!/(F248+G248)*'W4'!G248*'W4'!G$247,0)</f>
        <v>#REF!</v>
      </c>
      <c r="G301" s="300"/>
      <c r="H301" s="302" t="e">
        <f>ROUND(#REF!/(H248+I248)*'W4'!H248*'W4'!H$247+#REF!/(H248+I248)*'W4'!I248*'W4'!I$247,0)</f>
        <v>#REF!</v>
      </c>
      <c r="I301" s="300"/>
      <c r="J301" s="302" t="e">
        <f>IF(J275=0,"",ROUND(#REF!/(J248+K248)*'W4'!J248*'W4'!J$247+#REF!/(J248+K248)*'W4'!K248*'W4'!K$247,0))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ROUND(#REF!/'W4'!H178*'W4'!B249*'W4'!$B$247+#REF!/'W4'!H178*'W4'!C249*'W4'!$C$247,0)</f>
        <v>#REF!</v>
      </c>
      <c r="C302" s="300"/>
      <c r="D302" s="302" t="e">
        <f>ROUND(#REF!/(D249+E249)*'W4'!D249*'W4'!D$247+#REF!/(D249+E249)*'W4'!E249*'W4'!E$247,0)</f>
        <v>#REF!</v>
      </c>
      <c r="E302" s="300"/>
      <c r="F302" s="302" t="e">
        <f>ROUND(#REF!/(F249+G249)*'W4'!F249*'W4'!F$247+#REF!/(F249+G249)*'W4'!G249*'W4'!G$247,0)</f>
        <v>#REF!</v>
      </c>
      <c r="G302" s="300"/>
      <c r="H302" s="302" t="e">
        <f>ROUND(#REF!/(H249+I249)*'W4'!H249*'W4'!H$247+#REF!/(H249+I249)*'W4'!I249*'W4'!I$247,0)</f>
        <v>#REF!</v>
      </c>
      <c r="I302" s="300"/>
      <c r="J302" s="302" t="e">
        <f>IF(J276=0,"",ROUND(#REF!/(J249+K249)*'W4'!J249*'W4'!J$247+#REF!/(J249+K249)*'W4'!K249*'W4'!K$247,0))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ROUND(#REF!/'W4'!H179*'W4'!B250*'W4'!$B$247+#REF!/'W4'!H179*'W4'!C250*'W4'!$C$247,0)</f>
        <v>#REF!</v>
      </c>
      <c r="C303" s="300"/>
      <c r="D303" s="302" t="e">
        <f>ROUND(#REF!/(D250+E250)*'W4'!D250*'W4'!D$247+#REF!/(D250+E250)*'W4'!E250*'W4'!E$247,0)</f>
        <v>#REF!</v>
      </c>
      <c r="E303" s="300"/>
      <c r="F303" s="302" t="e">
        <f>ROUND(#REF!/(F250+G250)*'W4'!F250*'W4'!F$247+#REF!/(F250+G250)*'W4'!G250*'W4'!G$247,0)</f>
        <v>#REF!</v>
      </c>
      <c r="G303" s="300"/>
      <c r="H303" s="302" t="e">
        <f>ROUND(#REF!/(H250+I250)*'W4'!H250*'W4'!H$247+#REF!/(H250+I250)*'W4'!I250*'W4'!I$247,0)</f>
        <v>#REF!</v>
      </c>
      <c r="I303" s="300"/>
      <c r="J303" s="302" t="e">
        <f>IF(J277=0,"",ROUND(#REF!/(J250+K250)*'W4'!J250*'W4'!J$247+#REF!/(J250+K250)*'W4'!K250*'W4'!K$247,0))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ROUND(#REF!/'W4'!H180*'W4'!B251*'W4'!$B$247+#REF!/'W4'!H180*'W4'!C251*'W4'!$C$247,0)</f>
        <v>#REF!</v>
      </c>
      <c r="C304" s="300"/>
      <c r="D304" s="302" t="e">
        <f>ROUND(#REF!/(D251+E251)*'W4'!D251*'W4'!D$247+#REF!/(D251+E251)*'W4'!E251*'W4'!E$247,0)</f>
        <v>#REF!</v>
      </c>
      <c r="E304" s="300"/>
      <c r="F304" s="302" t="e">
        <f>ROUND(#REF!/(F251+G251)*'W4'!F251*'W4'!F$247+#REF!/(F251+G251)*'W4'!G251*'W4'!G$247,0)</f>
        <v>#REF!</v>
      </c>
      <c r="G304" s="300"/>
      <c r="H304" s="302" t="e">
        <f>ROUND(#REF!/(H251+I251)*'W4'!H251*'W4'!H$247+#REF!/(H251+I251)*'W4'!I251*'W4'!I$247,0)</f>
        <v>#REF!</v>
      </c>
      <c r="I304" s="300"/>
      <c r="J304" s="302" t="e">
        <f>IF(J278=0,"",ROUND(#REF!/(J251+K251)*'W4'!J251*'W4'!J$247+#REF!/(J251+K251)*'W4'!K251*'W4'!K$247,0))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IF((B252+C252)&lt;&gt;0,ROUND(#REF!/'W4'!H181*'W4'!B252*'W4'!$B$247+#REF!/'W4'!H181*'W4'!C252*'W4'!$C$247,0),0)</f>
        <v>#REF!</v>
      </c>
      <c r="C305" s="300"/>
      <c r="D305" s="302" t="e">
        <f>ROUND(#REF!/(D252+E252)*'W4'!D252*'W4'!D$247+#REF!/(D252+E252)*'W4'!E252*'W4'!E$247,0)</f>
        <v>#REF!</v>
      </c>
      <c r="E305" s="300"/>
      <c r="F305" s="302" t="e">
        <f>ROUND(#REF!/(F252+G252)*'W4'!F252*'W4'!F$247+#REF!/(F252+G252)*'W4'!G252*'W4'!G$247,0)</f>
        <v>#REF!</v>
      </c>
      <c r="G305" s="300"/>
      <c r="H305" s="302" t="e">
        <f>ROUND(#REF!/(H252+I252)*'W4'!H252*'W4'!H$247+#REF!/(H252+I252)*'W4'!I252*'W4'!I$247,0)</f>
        <v>#REF!</v>
      </c>
      <c r="I305" s="300"/>
      <c r="J305" s="302" t="e">
        <f>IF(J279=0,"",ROUND(#REF!/(J252+K252)*'W4'!J252*'W4'!J$247+#REF!/(J252+K252)*'W4'!K252*'W4'!K$247,0))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IF((B253+C253)&lt;&gt;0,ROUND(#REF!/'W4'!H182*'W4'!B253*'W4'!$B$247+#REF!/'W4'!H182*'W4'!C253*'W4'!$C$247,0),0)</f>
        <v>#REF!</v>
      </c>
      <c r="C306" s="300"/>
      <c r="D306" s="302" t="e">
        <f>ROUND(#REF!/(D253+E253)*'W4'!D253*'W4'!D$247+#REF!/(D253+E253)*'W4'!E253*'W4'!E$247,0)</f>
        <v>#REF!</v>
      </c>
      <c r="E306" s="300"/>
      <c r="F306" s="302" t="e">
        <f>ROUND(#REF!/(F253+G253)*'W4'!F253*'W4'!F$247+#REF!/(F253+G253)*'W4'!G253*'W4'!G$247,0)</f>
        <v>#REF!</v>
      </c>
      <c r="G306" s="300"/>
      <c r="H306" s="302" t="e">
        <f>ROUND(#REF!/(H253+I253)*'W4'!H253*'W4'!H$247+#REF!/(H253+I253)*'W4'!I253*'W4'!I$247,0)</f>
        <v>#REF!</v>
      </c>
      <c r="I306" s="300"/>
      <c r="J306" s="302" t="e">
        <f>IF(J280=0,"",ROUND(#REF!/(J253+K253)*'W4'!J253*'W4'!J$247+#REF!/(J253+K253)*'W4'!K253*'W4'!K$247,0))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IF((B254+C254)&lt;&gt;0,ROUND(#REF!/'W4'!H183*'W4'!B254*'W4'!$B$247+#REF!/'W4'!H183*'W4'!C254*'W4'!$C$247,0),0)</f>
        <v>#REF!</v>
      </c>
      <c r="C307" s="300"/>
      <c r="D307" s="302" t="e">
        <f>ROUND(#REF!/(D254+E254)*'W4'!D254*'W4'!D$247+#REF!/(D254+E254)*'W4'!E254*'W4'!E$247,0)</f>
        <v>#REF!</v>
      </c>
      <c r="E307" s="300"/>
      <c r="F307" s="302" t="e">
        <f>ROUND(#REF!/(F254+G254)*'W4'!F254*'W4'!F$247+#REF!/(F254+G254)*'W4'!G254*'W4'!G$247,0)</f>
        <v>#REF!</v>
      </c>
      <c r="G307" s="300"/>
      <c r="H307" s="302" t="e">
        <f>ROUND(#REF!/(H254+I254)*'W4'!H254*'W4'!H$247+#REF!/(H254+I254)*'W4'!I254*'W4'!I$247,0)</f>
        <v>#REF!</v>
      </c>
      <c r="I307" s="300"/>
      <c r="J307" s="302" t="e">
        <f>IF(J281=0,"",ROUND(#REF!/(J254+K254)*'W4'!J254*'W4'!J$247+#REF!/(J254+K254)*'W4'!K254*'W4'!K$247,0))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IF((B255+C255)&lt;&gt;0,ROUND(#REF!/'W4'!H184*'W4'!B255*'W4'!$B$247+#REF!/'W4'!H184*'W4'!C255*'W4'!$C$247,0),0)</f>
        <v>#REF!</v>
      </c>
      <c r="C308" s="300"/>
      <c r="D308" s="302" t="e">
        <f>ROUND(#REF!/(D255+E255)*'W4'!D255*'W4'!D$247+#REF!/(D255+E255)*'W4'!E255*'W4'!E$247,0)</f>
        <v>#REF!</v>
      </c>
      <c r="E308" s="300"/>
      <c r="F308" s="302" t="e">
        <f>ROUND(#REF!/(F255+G255)*'W4'!F255*'W4'!F$247+#REF!/(F255+G255)*'W4'!G255*'W4'!G$247,0)</f>
        <v>#REF!</v>
      </c>
      <c r="G308" s="300"/>
      <c r="H308" s="302" t="e">
        <f>ROUND(#REF!/(H255+I255)*'W4'!H255*'W4'!H$247+#REF!/(H255+I255)*'W4'!I255*'W4'!I$247,0)</f>
        <v>#REF!</v>
      </c>
      <c r="I308" s="300"/>
      <c r="J308" s="302" t="e">
        <f>IF(J282=0,"",ROUND(#REF!/(J255+K255)*'W4'!J255*'W4'!J$247+#REF!/(J255+K255)*'W4'!K255*'W4'!K$247,0))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IF((B256+C256)&lt;&gt;0,ROUND(#REF!/'W4'!H185*'W4'!B256*'W4'!$B$247+#REF!/'W4'!H185*'W4'!C256*'W4'!$C$247,0),0)</f>
        <v>#REF!</v>
      </c>
      <c r="C309" s="300"/>
      <c r="D309" s="302" t="e">
        <f>ROUND(#REF!/(D256+E256)*'W4'!D256*'W4'!D$247+#REF!/(D256+E256)*'W4'!E256*'W4'!E$247,0)</f>
        <v>#REF!</v>
      </c>
      <c r="E309" s="300"/>
      <c r="F309" s="302" t="e">
        <f>ROUND(#REF!/(F256+G256)*'W4'!F256*'W4'!F$247+#REF!/(F256+G256)*'W4'!G256*'W4'!G$247,0)</f>
        <v>#REF!</v>
      </c>
      <c r="G309" s="300"/>
      <c r="H309" s="302" t="e">
        <f>ROUND(#REF!/(H256+I256)*'W4'!H256*'W4'!H$247+#REF!/(H256+I256)*'W4'!I256*'W4'!I$247,0)</f>
        <v>#REF!</v>
      </c>
      <c r="I309" s="300"/>
      <c r="J309" s="302" t="e">
        <f>IF(J283=0,"",ROUND(#REF!/(J256+K256)*'W4'!J256*'W4'!J$247+#REF!/(J256+K256)*'W4'!K256*'W4'!K$247,0))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IF((B257+C257)&lt;&gt;0,ROUND(#REF!/'W4'!H186*'W4'!B257*'W4'!$B$247+#REF!/'W4'!H186*'W4'!C257*'W4'!$C$247,0),0)</f>
        <v>#REF!</v>
      </c>
      <c r="C310" s="300"/>
      <c r="D310" s="302" t="e">
        <f>ROUND(#REF!/(D257+E257)*'W4'!D257*'W4'!D$247+#REF!/(D257+E257)*'W4'!E257*'W4'!E$247,0)</f>
        <v>#REF!</v>
      </c>
      <c r="E310" s="300"/>
      <c r="F310" s="302" t="e">
        <f>ROUND(#REF!/(F257+G257)*'W4'!F257*'W4'!F$247+#REF!/(F257+G257)*'W4'!G257*'W4'!G$247,0)</f>
        <v>#REF!</v>
      </c>
      <c r="G310" s="300"/>
      <c r="H310" s="302" t="e">
        <f>ROUND(#REF!/(H257+I257)*'W4'!H257*'W4'!H$247+#REF!/(H257+I257)*'W4'!I257*'W4'!I$247,0)</f>
        <v>#REF!</v>
      </c>
      <c r="I310" s="300"/>
      <c r="J310" s="302" t="e">
        <f>IF(J284=0,"",ROUND(#REF!/(J257+K257)*'W4'!J257*'W4'!J$247+#REF!/(J257+K257)*'W4'!K257*'W4'!K$247,0))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IF((B258+C258)&lt;&gt;0,ROUND(#REF!/'W4'!H187*'W4'!B258*'W4'!$B$247+#REF!/'W4'!H187*'W4'!C258*'W4'!$C$247,0),0)</f>
        <v>#REF!</v>
      </c>
      <c r="C311" s="300"/>
      <c r="D311" s="302" t="e">
        <f>ROUND(#REF!/(D258+E258)*'W4'!D258*'W4'!D$247+#REF!/(D258+E258)*'W4'!E258*'W4'!E$247,0)</f>
        <v>#REF!</v>
      </c>
      <c r="E311" s="300"/>
      <c r="F311" s="302" t="e">
        <f>ROUND(#REF!/(F258+G258)*'W4'!F258*'W4'!F$247+#REF!/(F258+G258)*'W4'!G258*'W4'!G$247,0)</f>
        <v>#REF!</v>
      </c>
      <c r="G311" s="300"/>
      <c r="H311" s="302" t="e">
        <f>ROUND(#REF!/(H258+I258)*'W4'!H258*'W4'!H$247+#REF!/(H258+I258)*'W4'!I258*'W4'!I$247,0)</f>
        <v>#REF!</v>
      </c>
      <c r="I311" s="300"/>
      <c r="J311" s="302" t="e">
        <f>IF(J285=0,"",ROUND(#REF!/(J258+K258)*'W4'!J258*'W4'!J$247+#REF!/(J258+K258)*'W4'!K258*'W4'!K$247,0))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IF((B259+C259)&lt;&gt;0,ROUND(#REF!/'W4'!H188*'W4'!B259*'W4'!$B$247+#REF!/'W4'!H188*'W4'!C259*'W4'!$C$247,0),0)</f>
        <v>#REF!</v>
      </c>
      <c r="C312" s="300"/>
      <c r="D312" s="302" t="e">
        <f>ROUND(#REF!/(D259+E259)*'W4'!D259*'W4'!D$247+#REF!/(D259+E259)*'W4'!E259*'W4'!E$247,0)</f>
        <v>#REF!</v>
      </c>
      <c r="E312" s="300"/>
      <c r="F312" s="302" t="e">
        <f>ROUND(#REF!/(F259+G259)*'W4'!F259*'W4'!F$247+#REF!/(F259+G259)*'W4'!G259*'W4'!G$247,0)</f>
        <v>#REF!</v>
      </c>
      <c r="G312" s="300"/>
      <c r="H312" s="302" t="e">
        <f>ROUND(#REF!/(H259+I259)*'W4'!H259*'W4'!H$247+#REF!/(H259+I259)*'W4'!I259*'W4'!I$247,0)</f>
        <v>#REF!</v>
      </c>
      <c r="I312" s="300"/>
      <c r="J312" s="302" t="e">
        <f>IF(J286=0,"",ROUND(#REF!/(J259+K259)*'W4'!J259*'W4'!J$247+#REF!/(J259+K259)*'W4'!K259*'W4'!K$247,0))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IF((B260+C260)&lt;&gt;0,ROUND(#REF!/'W4'!H189*'W4'!B260*'W4'!$B$247+#REF!/'W4'!H189*'W4'!C260*'W4'!$C$247,0),0)</f>
        <v>#REF!</v>
      </c>
      <c r="C313" s="300"/>
      <c r="D313" s="302" t="e">
        <f>ROUND(#REF!/(D260+E260)*'W4'!D260*'W4'!D$247+#REF!/(D260+E260)*'W4'!E260*'W4'!E$247,0)</f>
        <v>#REF!</v>
      </c>
      <c r="E313" s="300"/>
      <c r="F313" s="302" t="e">
        <f>ROUND(#REF!/(F260+G260)*'W4'!F260*'W4'!F$247+#REF!/(F260+G260)*'W4'!G260*'W4'!G$247,0)</f>
        <v>#REF!</v>
      </c>
      <c r="G313" s="300"/>
      <c r="H313" s="302" t="e">
        <f>ROUND(#REF!/(H260+I260)*'W4'!H260*'W4'!H$247+#REF!/(H260+I260)*'W4'!I260*'W4'!I$247,0)</f>
        <v>#REF!</v>
      </c>
      <c r="I313" s="300"/>
      <c r="J313" s="302" t="e">
        <f>IF(J287=0,"",ROUND(#REF!/(J260+K260)*'W4'!J260*'W4'!J$247+#REF!/(J260+K260)*'W4'!K260*'W4'!K$247,0))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IF((B261+C261)&lt;&gt;0,ROUND(#REF!/'W4'!H190*'W4'!B261*'W4'!$B$247+#REF!/'W4'!H190*'W4'!C261*'W4'!$C$247,0),0)</f>
        <v>#REF!</v>
      </c>
      <c r="C314" s="300"/>
      <c r="D314" s="302" t="e">
        <f>ROUND(#REF!/(D261+E261)*'W4'!D261*'W4'!D$247+#REF!/(D261+E261)*'W4'!E261*'W4'!E$247,0)</f>
        <v>#REF!</v>
      </c>
      <c r="E314" s="300"/>
      <c r="F314" s="302" t="e">
        <f>ROUND(#REF!/(F261+G261)*'W4'!F261*'W4'!F$247+#REF!/(F261+G261)*'W4'!G261*'W4'!G$247,0)</f>
        <v>#REF!</v>
      </c>
      <c r="G314" s="300"/>
      <c r="H314" s="302" t="e">
        <f>ROUND(#REF!/(H261+I261)*'W4'!H261*'W4'!H$247+#REF!/(H261+I261)*'W4'!I261*'W4'!I$247,0)</f>
        <v>#REF!</v>
      </c>
      <c r="I314" s="300"/>
      <c r="J314" s="302" t="e">
        <f>IF(J288=0,"",ROUND(#REF!/(J261+K261)*'W4'!J261*'W4'!J$247+#REF!/(J261+K261)*'W4'!K261*'W4'!K$247,0))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IF((B262+C262)&lt;&gt;0,ROUND(#REF!/'W4'!H191*'W4'!B262*'W4'!$B$247+#REF!/'W4'!H191*'W4'!C262*'W4'!$C$247,0),0)</f>
        <v>#REF!</v>
      </c>
      <c r="C315" s="300"/>
      <c r="D315" s="302" t="e">
        <f>ROUND(#REF!/(D262+E262)*'W4'!D262*'W4'!D$247+#REF!/(D262+E262)*'W4'!E262*'W4'!E$247,0)</f>
        <v>#REF!</v>
      </c>
      <c r="E315" s="300"/>
      <c r="F315" s="302" t="e">
        <f>ROUND(#REF!/(F262+G262)*'W4'!F262*'W4'!F$247+#REF!/(F262+G262)*'W4'!G262*'W4'!G$247,0)</f>
        <v>#REF!</v>
      </c>
      <c r="G315" s="300"/>
      <c r="H315" s="302" t="e">
        <f>ROUND(#REF!/(H262+I262)*'W4'!H262*'W4'!H$247+#REF!/(H262+I262)*'W4'!I262*'W4'!I$247,0)</f>
        <v>#REF!</v>
      </c>
      <c r="I315" s="300"/>
      <c r="J315" s="302" t="e">
        <f>IF(J289=0,"",ROUND(#REF!/(J262+K262)*'W4'!J262*'W4'!J$247+#REF!/(J262+K262)*'W4'!K262*'W4'!K$247,0))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IF((B263+C263)&lt;&gt;0,ROUND(#REF!/'W4'!H192*'W4'!B263*'W4'!$B$247+#REF!/'W4'!H192*'W4'!C263*'W4'!$C$247,0),0)</f>
        <v>#REF!</v>
      </c>
      <c r="C316" s="300"/>
      <c r="D316" s="302" t="e">
        <f>ROUND(#REF!/(D263+E263)*'W4'!D263*'W4'!D$247+#REF!/(D263+E263)*'W4'!E263*'W4'!E$247,0)</f>
        <v>#REF!</v>
      </c>
      <c r="E316" s="300"/>
      <c r="F316" s="302" t="e">
        <f>ROUND(#REF!/(F263+G263)*'W4'!F263*'W4'!F$247+#REF!/(F263+G263)*'W4'!G263*'W4'!G$247,0)</f>
        <v>#REF!</v>
      </c>
      <c r="G316" s="300"/>
      <c r="H316" s="302" t="e">
        <f>ROUND(#REF!/(H263+I263)*'W4'!H263*'W4'!H$247+#REF!/(H263+I263)*'W4'!I263*'W4'!I$247,0)</f>
        <v>#REF!</v>
      </c>
      <c r="I316" s="300"/>
      <c r="J316" s="302" t="e">
        <f>IF(J290=0,"",ROUND(#REF!/(J263+K263)*'W4'!J263*'W4'!J$247+#REF!/(J263+K263)*'W4'!K263*'W4'!K$247,0))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IF((B264+C264)&lt;&gt;0,ROUND(#REF!/'W4'!H193*'W4'!B264*'W4'!$B$247+#REF!/'W4'!H193*'W4'!C264*'W4'!$C$247,0),0)</f>
        <v>#REF!</v>
      </c>
      <c r="C317" s="300"/>
      <c r="D317" s="302" t="e">
        <f>ROUND(#REF!/(D264+E264)*'W4'!D264*'W4'!D$247+#REF!/(D264+E264)*'W4'!E264*'W4'!E$247,0)</f>
        <v>#REF!</v>
      </c>
      <c r="E317" s="300"/>
      <c r="F317" s="302" t="e">
        <f>ROUND(#REF!/(F264+G264)*'W4'!F264*'W4'!F$247+#REF!/(F264+G264)*'W4'!G264*'W4'!G$247,0)</f>
        <v>#REF!</v>
      </c>
      <c r="G317" s="300"/>
      <c r="H317" s="302" t="e">
        <f>ROUND(#REF!/(H264+I264)*'W4'!H264*'W4'!H$247+#REF!/(H264+I264)*'W4'!I264*'W4'!I$247,0)</f>
        <v>#REF!</v>
      </c>
      <c r="I317" s="300"/>
      <c r="J317" s="302" t="e">
        <f>IF(J291=0,"",ROUND(#REF!/(J264+K264)*'W4'!J264*'W4'!J$247+#REF!/(J264+K264)*'W4'!K264*'W4'!K$247,0))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IF((B265+C265)&lt;&gt;0,ROUND(#REF!/'W4'!H194*'W4'!B265*'W4'!$B$247+#REF!/'W4'!H194*'W4'!C265*'W4'!$C$247,0),0)</f>
        <v>#REF!</v>
      </c>
      <c r="C318" s="300"/>
      <c r="D318" s="302" t="e">
        <f>ROUND(#REF!/(D265+E265)*'W4'!D265*'W4'!D$247+#REF!/(D265+E265)*'W4'!E265*'W4'!E$247,0)</f>
        <v>#REF!</v>
      </c>
      <c r="E318" s="300"/>
      <c r="F318" s="302" t="e">
        <f>ROUND(#REF!/(F265+G265)*'W4'!F265*'W4'!F$247+#REF!/(F265+G265)*'W4'!G265*'W4'!G$247,0)</f>
        <v>#REF!</v>
      </c>
      <c r="G318" s="300"/>
      <c r="H318" s="302" t="e">
        <f>ROUND(#REF!/(H265+I265)*'W4'!H265*'W4'!H$247+#REF!/(H265+I265)*'W4'!I265*'W4'!I$247,0)</f>
        <v>#REF!</v>
      </c>
      <c r="I318" s="300"/>
      <c r="J318" s="302" t="e">
        <f>IF(J292=0,"",ROUND(#REF!/(J265+K265)*'W4'!J265*'W4'!J$247+#REF!/(J265+K265)*'W4'!K265*'W4'!K$247,0))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IF((B266+C266)&lt;&gt;0,ROUND(#REF!/'W4'!H195*'W4'!B266*'W4'!$B$247+#REF!/'W4'!H195*'W4'!C266*'W4'!$C$247,0),0)</f>
        <v>#REF!</v>
      </c>
      <c r="C319" s="300"/>
      <c r="D319" s="302" t="e">
        <f>ROUND(#REF!/(D266+E266)*'W4'!D266*'W4'!D$247+#REF!/(D266+E266)*'W4'!E266*'W4'!E$247,0)</f>
        <v>#REF!</v>
      </c>
      <c r="E319" s="300"/>
      <c r="F319" s="302" t="e">
        <f>ROUND(#REF!/(F266+G266)*'W4'!F266*'W4'!F$247+#REF!/(F266+G266)*'W4'!G266*'W4'!G$247,0)</f>
        <v>#REF!</v>
      </c>
      <c r="G319" s="300"/>
      <c r="H319" s="302" t="e">
        <f>ROUND(#REF!/(H266+I266)*'W4'!H266*'W4'!H$247+#REF!/(H266+I266)*'W4'!I266*'W4'!I$247,0)</f>
        <v>#REF!</v>
      </c>
      <c r="I319" s="300"/>
      <c r="J319" s="302" t="e">
        <f>IF(J293=0,"",ROUND(#REF!/(J266+K266)*'W4'!J266*'W4'!J$247+#REF!/(J266+K266)*'W4'!K266*'W4'!K$247,0))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IF((B267+C267)&lt;&gt;0,ROUND(#REF!/'W4'!H196*'W4'!B267*'W4'!$B$247+#REF!/'W4'!H196*'W4'!C267*'W4'!$C$247,0),0)</f>
        <v>#REF!</v>
      </c>
      <c r="C320" s="300"/>
      <c r="D320" s="302" t="e">
        <f>ROUND(#REF!/(D267+E267)*'W4'!D267*'W4'!D$247+#REF!/(D267+E267)*'W4'!E267*'W4'!E$247,0)</f>
        <v>#REF!</v>
      </c>
      <c r="E320" s="300"/>
      <c r="F320" s="302" t="e">
        <f>ROUND(#REF!/(F267+G267)*'W4'!F267*'W4'!F$247+#REF!/(F267+G267)*'W4'!G267*'W4'!G$247,0)</f>
        <v>#REF!</v>
      </c>
      <c r="G320" s="300"/>
      <c r="H320" s="302" t="e">
        <f>ROUND(#REF!/(H267+I267)*'W4'!H267*'W4'!H$247+#REF!/(H267+I267)*'W4'!I267*'W4'!I$247,0)</f>
        <v>#REF!</v>
      </c>
      <c r="I320" s="300"/>
      <c r="J320" s="302" t="e">
        <f>IF(J294=0,"",ROUND(#REF!/(J267+K267)*'W4'!J267*'W4'!J$247+#REF!/(J267+K267)*'W4'!K267*'W4'!K$247,0))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IF((B268+C268)&lt;&gt;0,ROUND(#REF!/'W4'!H197*'W4'!B268*'W4'!$B$247+#REF!/'W4'!H197*'W4'!C268*'W4'!$C$247,0),0)</f>
        <v>#REF!</v>
      </c>
      <c r="C321" s="300"/>
      <c r="D321" s="302" t="e">
        <f>ROUND(#REF!/(D268+E268)*'W4'!D268*'W4'!D$247+#REF!/(D268+E268)*'W4'!E268*'W4'!E$247,0)</f>
        <v>#REF!</v>
      </c>
      <c r="E321" s="300"/>
      <c r="F321" s="302" t="e">
        <f>ROUND(#REF!/(F268+G268)*'W4'!F268*'W4'!F$247+#REF!/(F268+G268)*'W4'!G268*'W4'!G$247,0)</f>
        <v>#REF!</v>
      </c>
      <c r="G321" s="300"/>
      <c r="H321" s="302" t="e">
        <f>ROUND(#REF!/(H268+I268)*'W4'!H268*'W4'!H$247+#REF!/(H268+I268)*'W4'!I268*'W4'!I$247,0)</f>
        <v>#REF!</v>
      </c>
      <c r="I321" s="300"/>
      <c r="J321" s="302" t="e">
        <f>IF(J295=0,"",ROUND(#REF!/(J268+K268)*'W4'!J268*'W4'!J$247+#REF!/(J268+K268)*'W4'!K268*'W4'!K$247,0))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IF((B269+C269)&lt;&gt;0,ROUND(#REF!/'W4'!H198*'W4'!B269*'W4'!$B$247+#REF!/'W4'!H198*'W4'!C269*'W4'!$C$247,0),0)</f>
        <v>#REF!</v>
      </c>
      <c r="C322" s="300"/>
      <c r="D322" s="302" t="e">
        <f>ROUND(#REF!/(D269+E269)*'W4'!D269*'W4'!D$247+#REF!/(D269+E269)*'W4'!E269*'W4'!E$247,0)</f>
        <v>#REF!</v>
      </c>
      <c r="E322" s="300"/>
      <c r="F322" s="302" t="e">
        <f>ROUND(#REF!/(F269+G269)*'W4'!F269*'W4'!F$247+#REF!/(F269+G269)*'W4'!G269*'W4'!G$247,0)</f>
        <v>#REF!</v>
      </c>
      <c r="G322" s="300"/>
      <c r="H322" s="302" t="e">
        <f>ROUND(#REF!/(H269+I269)*'W4'!H269*'W4'!H$247+#REF!/(H269+I269)*'W4'!I269*'W4'!I$247,0)</f>
        <v>#REF!</v>
      </c>
      <c r="I322" s="300"/>
      <c r="J322" s="302" t="e">
        <f>IF(J296=0,"",ROUND(#REF!/(J269+K269)*'W4'!J269*'W4'!J$247+#REF!/(J269+K269)*'W4'!K269*'W4'!K$247,0))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IF((B270+C270)&lt;&gt;0,ROUND(#REF!/'W4'!H199*'W4'!B270*'W4'!$B$247+#REF!/'W4'!H199*'W4'!C270*'W4'!$C$247,0),0)</f>
        <v>#REF!</v>
      </c>
      <c r="C323" s="300"/>
      <c r="D323" s="302" t="e">
        <f>ROUND(#REF!/(D270+E270)*'W4'!D270*'W4'!D$247+#REF!/(D270+E270)*'W4'!E270*'W4'!E$247,0)</f>
        <v>#REF!</v>
      </c>
      <c r="E323" s="300"/>
      <c r="F323" s="302" t="e">
        <f>ROUND(#REF!/(F270+G270)*'W4'!F270*'W4'!F$247+#REF!/(F270+G270)*'W4'!G270*'W4'!G$247,0)</f>
        <v>#REF!</v>
      </c>
      <c r="G323" s="300"/>
      <c r="H323" s="302" t="e">
        <f>ROUND(#REF!/(H270+I270)*'W4'!H270*'W4'!H$247+#REF!/(H270+I270)*'W4'!I270*'W4'!I$247,0)</f>
        <v>#REF!</v>
      </c>
      <c r="I323" s="300"/>
      <c r="J323" s="302" t="e">
        <f>IF(J297=0,"",ROUND(#REF!/(J270+K270)*'W4'!J270*'W4'!J$247+#REF!/(J270+K270)*'W4'!K270*'W4'!K$247,0))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IF((B271+C271)&lt;&gt;0,ROUND(#REF!/'W4'!H200*'W4'!B271*'W4'!$B$247+#REF!/'W4'!H200*'W4'!C271*'W4'!$C$247,0),0)</f>
        <v>#REF!</v>
      </c>
      <c r="C324" s="300"/>
      <c r="D324" s="302" t="e">
        <f>ROUND(#REF!/(D271+E271)*'W4'!D271*'W4'!D$247+#REF!/(D271+E271)*'W4'!E271*'W4'!E$247,0)</f>
        <v>#REF!</v>
      </c>
      <c r="E324" s="300"/>
      <c r="F324" s="302" t="e">
        <f>ROUND(#REF!/(F271+G271)*'W4'!F271*'W4'!F$247+#REF!/(F271+G271)*'W4'!G271*'W4'!G$247,0)</f>
        <v>#REF!</v>
      </c>
      <c r="G324" s="300"/>
      <c r="H324" s="302" t="e">
        <f>ROUND(#REF!/(H271+I271)*'W4'!H271*'W4'!H$247+#REF!/(H271+I271)*'W4'!I271*'W4'!I$247,0)</f>
        <v>#REF!</v>
      </c>
      <c r="I324" s="300"/>
      <c r="J324" s="302" t="e">
        <f>IF(J298=0,"",ROUND(#REF!/(J271+K271)*'W4'!J271*'W4'!J$247+#REF!/(J271+K271)*'W4'!K271*'W4'!K$247,0))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28" s="300"/>
      <c r="D328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28" s="300"/>
      <c r="F328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28" s="300"/>
      <c r="H328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28" s="300"/>
      <c r="J328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29" s="300"/>
      <c r="D329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29" s="300"/>
      <c r="F329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29" s="300"/>
      <c r="H329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29" s="300"/>
      <c r="J329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0" s="300"/>
      <c r="D330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0" s="300"/>
      <c r="F330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0" s="300"/>
      <c r="H330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0" s="300"/>
      <c r="J330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1" s="300"/>
      <c r="D331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1" s="300"/>
      <c r="F331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1" s="300"/>
      <c r="H331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1" s="300"/>
      <c r="J331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2" s="300"/>
      <c r="D332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2" s="300"/>
      <c r="F332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2" s="300"/>
      <c r="H332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2" s="300"/>
      <c r="J332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3" s="300"/>
      <c r="D333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3" s="300"/>
      <c r="F333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3" s="300"/>
      <c r="H333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3" s="300"/>
      <c r="J333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4" s="300"/>
      <c r="D334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4" s="300"/>
      <c r="F334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4" s="300"/>
      <c r="H334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4" s="300"/>
      <c r="J334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5" s="300"/>
      <c r="D335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5" s="300"/>
      <c r="F335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5" s="300"/>
      <c r="H335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5" s="300"/>
      <c r="J335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6" s="300"/>
      <c r="D336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6" s="300"/>
      <c r="F336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6" s="300"/>
      <c r="H336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6" s="300"/>
      <c r="J336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7" s="300"/>
      <c r="D337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7" s="300"/>
      <c r="F337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7" s="300"/>
      <c r="H337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7" s="300"/>
      <c r="J337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8" s="300"/>
      <c r="D338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8" s="300"/>
      <c r="F338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8" s="300"/>
      <c r="H338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8" s="300"/>
      <c r="J338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39" s="300"/>
      <c r="D339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39" s="300"/>
      <c r="F339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39" s="300"/>
      <c r="H339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39" s="300"/>
      <c r="J339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0" s="300"/>
      <c r="D340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0" s="300"/>
      <c r="F340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0" s="300"/>
      <c r="H340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0" s="300"/>
      <c r="J340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1" s="300"/>
      <c r="D341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1" s="300"/>
      <c r="F341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1" s="300"/>
      <c r="H341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1" s="300"/>
      <c r="J341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2" s="300"/>
      <c r="D342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2" s="300"/>
      <c r="F342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2" s="300"/>
      <c r="H342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2" s="300"/>
      <c r="J342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3" s="300"/>
      <c r="D343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3" s="300"/>
      <c r="F343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3" s="300"/>
      <c r="H343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3" s="300"/>
      <c r="J343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4" s="300"/>
      <c r="D344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4" s="300"/>
      <c r="F344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4" s="300"/>
      <c r="H344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4" s="300"/>
      <c r="J344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5" s="300"/>
      <c r="D345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5" s="300"/>
      <c r="F345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5" s="300"/>
      <c r="H345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5" s="300"/>
      <c r="J345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6" s="300"/>
      <c r="D346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6" s="300"/>
      <c r="F346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6" s="300"/>
      <c r="H346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6" s="300"/>
      <c r="J346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7" s="300"/>
      <c r="D347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7" s="300"/>
      <c r="F347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7" s="300"/>
      <c r="H347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7" s="300"/>
      <c r="J347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8" s="300"/>
      <c r="D348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8" s="300"/>
      <c r="F348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8" s="300"/>
      <c r="H348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8" s="300"/>
      <c r="J348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49" s="300"/>
      <c r="D349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49" s="300"/>
      <c r="F349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49" s="300"/>
      <c r="H349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49" s="300"/>
      <c r="J349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50" s="300"/>
      <c r="D350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50" s="300"/>
      <c r="F350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50" s="300"/>
      <c r="H350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50" s="300"/>
      <c r="J350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4'!$C$5=0,"",IF(AND(#REF!="Multi",#REF!="FY"),ROUND(((1+#REF!)^'W4'!$B$20*'W4'!$C$9+(1+#REF!)^('W4'!$B$20+1)*'W4'!$C$10)/('W4'!$C$5)*#REF!,0),(IF(AND(#REF!="Multi",#REF!="PY"),ROUND(#REF!/('W4'!$C$5)*'W4'!$C$5,0),(IF(AND(#REF!&lt;&gt;"Multi",#REF!="FY"),ROUND(((1+#REF!)^'W4'!$B$20*'W4'!$C$9+(1+#REF!)^('W4'!$B$20+1)*'W4'!$C$10)/'W4'!$C$5*#REF!,0),ROUND(#REF!/'W4'!$C$5*'W4'!$C$5,0)))))))</f>
        <v>#REF!</v>
      </c>
      <c r="C351" s="300"/>
      <c r="D351" s="302" t="e">
        <f>IF('W4'!$D$5=0,"",IF($C$4=$D$4,(IF(AND(#REF!="Multi",#REF!="FY"),ROUND(((1+#REF!)^('W4'!$B$20)*'W4'!$D$9+(1+#REF!)^('W4'!$B$20+1)*'W4'!$D$10)/'W4'!$D$5*#REF!,0),(IF(AND(#REF!="Multi",#REF!="PY"),ROUND(#REF!*(1+#REF!)/'W4'!$D$5*'W4'!$D$5,0),(IF(AND(#REF!&lt;&gt;"Multi",#REF!="FY"),ROUND(((1+#REF!)^('W4'!$B$20)*'W4'!$D$9+(1+#REF!)^('W4'!$B$20+1)*'W4'!$D$10)/'W4'!$D$5*#REF!,0),ROUND(#REF!*(1+#REF!)/'W4'!$D$5*'W4'!$D$5,0))))))),(IF(AND(#REF!="Multi",#REF!="FY"),ROUND(((1+#REF!)^('W4'!$B$20+1)*'W4'!$D$9+(1+#REF!)^('W4'!$B$20+2)*'W4'!$D$10)/'W4'!$D$5*#REF!,0),(IF(AND(#REF!="Multi",#REF!="PY"),ROUND(#REF!*(1+#REF!)/'W4'!$D$5*'W4'!$D$5,0),(IF(AND(#REF!&lt;&gt;"Multi",#REF!="FY"),ROUND(((1+#REF!)^('W4'!$B$20+1)*'W4'!$D$9+(1+#REF!)^('W4'!$B$20+2)*'W4'!$D$10)/'W4'!$D$5*#REF!,0),ROUND(#REF!*(1+#REF!)/'W4'!$D$5*'W4'!$D$5,0)))))))))</f>
        <v>#REF!</v>
      </c>
      <c r="E351" s="300"/>
      <c r="F351" s="302" t="e">
        <f>IF('W4'!$E$5=0,"",IF($C$4=$D$4,(IF(AND(#REF!="Multi",#REF!="FY"),ROUND(((1+#REF!)^('W4'!$B$20+1)*'W4'!$E$9+(1+#REF!)^('W4'!$B$20+3)*'W4'!$E$10)/'W4'!$E$5*#REF!,0),(IF(AND(#REF!="Multi",#REF!="PY"),ROUND(#REF!*((1+#REF!)^2)/'W4'!$E$5*'W4'!$E$5,0),(IF(AND(#REF!&lt;&gt;"Multi",#REF!="FY"),ROUND(((1+#REF!)^('W4'!$B$20+1)*'W4'!$E$9+(1+#REF!)^('W4'!$B$20+2)*'W4'!$E$10)/'W4'!$E$5*#REF!,0),ROUND(#REF!*((1+#REF!)^2)/'W4'!$E$5*'W4'!$E$5,0))))))),(IF(AND(#REF!="Multi",#REF!="FY"),ROUND(((1+#REF!)^('W4'!$B$20+2)*'W4'!$E$9+(1+#REF!)^('W4'!$B$20+3)*'W4'!$E$10)/'W4'!$E$5*#REF!,0),(IF(AND(#REF!="Multi",#REF!="PY"),ROUND(#REF!*((1+#REF!)^2)/'W4'!$E$5*'W4'!$E$5,0),(IF(AND(#REF!&lt;&gt;"Multi",#REF!="FY"),ROUND(((1+#REF!)^('W4'!$B$20+2)*'W4'!$E$9+(1+#REF!)^('W4'!$B$20+3)*'W4'!$E$10)/'W4'!$E$5*#REF!,0),ROUND(#REF!*((1+#REF!)^2)/'W4'!$E$5*'W4'!$E$5,0)))))))))</f>
        <v>#REF!</v>
      </c>
      <c r="G351" s="300"/>
      <c r="H351" s="302" t="e">
        <f>IF('W4'!$F$5=0,"",IF($C$4=$D$4,(IF(AND(#REF!="Multi",#REF!="FY"),ROUND(((1+#REF!)^('W4'!$B$20+2)*'W4'!$F$9+(1+#REF!)^('W4'!$B$20+3)*'W4'!$F$10)/'W4'!$F$5*#REF!,0),(IF(AND(#REF!="Multi",#REF!="PY"),ROUND(#REF!*((1+#REF!)^3)/'W4'!$F$5*'W4'!$F$5,0),(IF(AND(#REF!&lt;&gt;"Multi",#REF!="FY"),ROUND(((1+#REF!)^('W4'!$B$20+2)*'W4'!$F$9+(1+#REF!)^('W4'!$B$20+3)*'W4'!$F$10)/'W4'!$F$5*#REF!,0),ROUND(#REF!*((1+#REF!)^3)/'W4'!$F$5*'W4'!$F$5,0))))))),(IF(AND(#REF!="Multi",#REF!="FY"),ROUND(((1+#REF!)^('W4'!$B$20+3)*'W4'!$F$9+(1+#REF!)^('W4'!$B$20+4)*'W4'!$F$10)/'W4'!$F$5*#REF!,0),(IF(AND(#REF!="Multi",#REF!="PY"),ROUND(#REF!*((1+#REF!)^3)/'W4'!$F$5*'W4'!$F$5,0),(IF(AND(#REF!&lt;&gt;"Multi",#REF!="FY"),ROUND(((1+#REF!)^('W4'!$B$20+3)*'W4'!$F$9+(1+#REF!)^('W4'!$B$20+4)*'W4'!$F$10)/'W4'!$F$5*#REF!,0),ROUND(#REF!*((1+#REF!)^3)/'W4'!$F$5*'W4'!$F$5,0)))))))))</f>
        <v>#REF!</v>
      </c>
      <c r="I351" s="300"/>
      <c r="J351" s="302" t="e">
        <f>IF('W4'!$G$5=0,"",IF($C$4=$D$4,(IF(AND(#REF!="Multi",#REF!="FY"),ROUND(((1+#REF!)^('W4'!$B$20+3)*'W4'!$G$9+(1+#REF!)^('W4'!$B$20+4)*'W4'!$G$10)/'W4'!$G$5*#REF!,0),(IF(AND(#REF!="Multi",#REF!="PY"),ROUND(#REF!*((1+#REF!)^4)/'W4'!$G$5*'W4'!$G$5,0),(IF(AND(#REF!&lt;&gt;"Multi",#REF!="FY"),ROUND(((1+#REF!)^('W4'!$B$20+3)*'W4'!$G$9+(1+#REF!)^('W4'!$B$20+4)*'W4'!$G$10)/'W4'!$G$5*#REF!,0),ROUND(#REF!*((1+#REF!)^4)/'W4'!$G$5*'W4'!$G$5,0))))))),(IF(AND(#REF!="Multi",#REF!="FY"),ROUND(((1+#REF!)^('W4'!$B$20+4)*'W4'!$G$9+(1+#REF!)^('W4'!$B$20+5)*'W4'!$G$10)/'W4'!$G$5*#REF!,0),(IF(AND(#REF!="Multi",#REF!="PY"),ROUND(#REF!*((1+#REF!)^4)/'W4'!$G$5*'W4'!$G$5,0),(IF(AND(#REF!&lt;&gt;"Multi",#REF!="FY"),ROUND(((1+#REF!)^('W4'!$B$20+4)*'W4'!$G$9+(1+#REF!)^('W4'!$B$20+5)*'W4'!$G$10)/'W4'!$G$5*#REF!,0),ROUND(#REF!*((1+#REF!)^4)/'W4'!$G$5*'W4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82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5" workbookViewId="0">
      <selection activeCell="N35" sqref="N35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IF(#REF!='W5'!A86,'W5'!B86,IF(#REF!='W5'!A87,'W5'!B87,IF(#REF!='W5'!A88,'W5'!B88,IF(#REF!='W5'!A89,'W5'!B89,IF(#REF!='W5'!A90,'W5'!B90,IF(#REF!='W5'!A91,'W5'!B91))))))</f>
        <v>#REF!</v>
      </c>
      <c r="C97" s="37" t="e">
        <f>IF(#REF!='W5'!A86,'W5'!C86,IF(#REF!='W5'!A87,'W5'!C87,IF(#REF!='W5'!A88,'W5'!C88,IF(#REF!='W5'!A89,'W5'!C89,IF(#REF!='W5'!A90,'W5'!C90,IF(#REF!='W5'!A91,'W5'!C91))))))</f>
        <v>#REF!</v>
      </c>
      <c r="D97" s="37" t="e">
        <f>IF(#REF!='W5'!$A$86,'W5'!D86,IF(#REF!='W5'!$A$87,'W5'!D87,IF(#REF!='W5'!$A$88,'W5'!D88,IF(#REF!='W5'!$A$89,'W5'!D89,IF(#REF!='W5'!$A$90,'W5'!D90,IF(#REF!='W5'!$A$91,'W5'!D91))))))</f>
        <v>#REF!</v>
      </c>
      <c r="E97" s="37" t="e">
        <f>IF(#REF!='W5'!$A$86,'W5'!E86,IF(#REF!='W5'!$A$87,'W5'!E87,IF(#REF!='W5'!$A$88,'W5'!E88,IF(#REF!='W5'!$A$89,'W5'!E89,IF(#REF!='W5'!$A$90,'W5'!E90,IF(#REF!='W5'!$A$91,'W5'!E91))))))</f>
        <v>#REF!</v>
      </c>
      <c r="F97" s="37" t="e">
        <f>IF(#REF!='W5'!$A$86,'W5'!F86,IF(#REF!='W5'!$A$87,'W5'!F87,IF(#REF!='W5'!$A$88,'W5'!F88,IF(#REF!='W5'!$A$89,'W5'!F89,IF(#REF!='W5'!$A$90,'W5'!F90,IF(#REF!='W5'!$A$91,'W5'!F91))))))</f>
        <v>#REF!</v>
      </c>
      <c r="G97" s="37" t="e">
        <f>IF(#REF!='W5'!$A$86,'W5'!G86,IF(#REF!='W5'!$A$87,'W5'!G87,IF(#REF!='W5'!$A$88,'W5'!G88,IF(#REF!='W5'!$A$89,'W5'!G89,IF(#REF!='W5'!$A$90,'W5'!G90,IF(#REF!='W5'!$A$91,'W5'!G91))))))</f>
        <v>#REF!</v>
      </c>
      <c r="H97" s="37" t="e">
        <f>IF(#REF!='W5'!$A$86,'W5'!H86,IF(#REF!='W5'!$A$87,'W5'!H87,IF(#REF!='W5'!$A$88,'W5'!H88,IF(#REF!='W5'!$A$89,'W5'!H89,IF(#REF!='W5'!$A$90,'W5'!H90,IF(#REF!='W5'!$A$91,'W5'!H91))))))</f>
        <v>#REF!</v>
      </c>
      <c r="I97" s="37" t="e">
        <f>IF(#REF!='W5'!$A$86,'W5'!I86,IF(#REF!='W5'!$A$87,'W5'!I87,IF(#REF!='W5'!$A$88,'W5'!I88,IF(#REF!='W5'!$A$89,'W5'!I89,IF(#REF!='W5'!$A$90,'W5'!I90,IF(#REF!='W5'!$A$91,'W5'!I91))))))</f>
        <v>#REF!</v>
      </c>
      <c r="J97" s="37" t="e">
        <f>IF(#REF!='W5'!$A$86,'W5'!J86,IF(#REF!='W5'!$A$87,'W5'!J87,IF(#REF!='W5'!$A$88,'W5'!J88,IF(#REF!='W5'!$A$89,'W5'!J89,IF(#REF!='W5'!$A$90,'W5'!J90,IF(#REF!='W5'!$A$91,'W5'!J91))))))</f>
        <v>#REF!</v>
      </c>
      <c r="K97" s="37" t="e">
        <f>IF(#REF!='W5'!$A$86,'W5'!K86,IF(#REF!='W5'!$A$87,'W5'!K87,IF(#REF!='W5'!$A$88,'W5'!K88,IF(#REF!='W5'!$A$89,'W5'!K89,IF(#REF!='W5'!$A$90,'W5'!K90,IF(#REF!='W5'!$A$91,'W5'!K91))))))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#REF!+#REF!+#REF!+#REF!+SUM(#REF!)+SUM(#REF!)+'W5'!C136</f>
        <v>#REF!</v>
      </c>
      <c r="D157" s="41" t="e">
        <f>IF(D4="",0,(#REF!+#REF!+#REF!+#REF!+SUM(#REF!)+SUM(#REF!)+'W5'!D136))</f>
        <v>#REF!</v>
      </c>
      <c r="E157" s="41" t="e">
        <f>IF(E4="",0,(#REF!+#REF!+#REF!+#REF!+SUM(#REF!)+SUM(#REF!)+'W5'!E136))</f>
        <v>#REF!</v>
      </c>
      <c r="F157" s="41" t="e">
        <f>IF(F4="",0,(#REF!+#REF!+#REF!+#REF!+SUM(#REF!)+SUM(#REF!)+'W5'!F136))</f>
        <v>#REF!</v>
      </c>
      <c r="G157" s="41" t="e">
        <f>IF(G4="",0,(#REF!+#REF!+#REF!+#REF!+SUM(#REF!)+SUM(#REF!)+'W5'!G136))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#REF!-#REF!+'W5'!C154</f>
        <v>#REF!</v>
      </c>
      <c r="D158" s="42" t="e">
        <f>IF(D4="",0,(#REF!-#REF!+'W5'!D154))</f>
        <v>#REF!</v>
      </c>
      <c r="E158" s="42" t="e">
        <f>IF(E4="",0,(#REF!-#REF!+'W5'!E154))</f>
        <v>#REF!</v>
      </c>
      <c r="F158" s="42" t="e">
        <f>IF(F4="",0,(#REF!-#REF!+'W5'!F154))</f>
        <v>#REF!</v>
      </c>
      <c r="G158" s="42" t="e">
        <f>IF(G4="",0,(#REF!-#REF!+'W5'!G154))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ROUND((#REF!-#REF!+'W5'!C154)/(1-#REF!),0)</f>
        <v>#REF!</v>
      </c>
      <c r="D159" s="41" t="e">
        <f>IF(D4="",0,(ROUND((#REF!-#REF!+'W5'!D154)/(1-#REF!),0)))</f>
        <v>#REF!</v>
      </c>
      <c r="E159" s="41" t="e">
        <f>IF(E4="",0,(ROUND((#REF!-#REF!+'W5'!E154)/(1-#REF!),0)))</f>
        <v>#REF!</v>
      </c>
      <c r="F159" s="41" t="e">
        <f>IF(F4="",0,(ROUND((#REF!-#REF!+'W5'!F154)/(1-#REF!),0)))</f>
        <v>#REF!</v>
      </c>
      <c r="G159" s="41" t="e">
        <f>IF(G4="",0,(ROUND((#REF!-#REF!+'W5'!G154)/(1-#REF!),0)))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IF(C$5=0,0,IF(#REF!="AY",(E162*C$27+F162*C$28)/C$29,'W5'!E162))</f>
        <v>#REF!</v>
      </c>
      <c r="L162" s="112" t="e">
        <f>IF(D$5=0,0,IF(#REF!="AY",(F162*D$27+G162*D$28)/D$29,'W5'!F162))</f>
        <v>#REF!</v>
      </c>
      <c r="M162" s="112" t="e">
        <f>IF(E$5=0,0,IF(#REF!="AY",(G162*E$27+H162*E$28)/E$29,'W5'!G162))</f>
        <v>#REF!</v>
      </c>
      <c r="N162" s="112" t="e">
        <f>IF(F$5=0,0,IF(#REF!="AY",(H162*F$27+I162*F$28)/F$29,'W5'!H162))</f>
        <v>#REF!</v>
      </c>
      <c r="O162" s="112" t="e">
        <f>IF(G$5=0,0,IF(#REF!="AY",(I162*G$27+J162*G$28)/G$29,'W5'!I162))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IF(C$5=0,0,IF(#REF!="AY",(E163*C$27+F163*C$28)/C$29,'W5'!E163))</f>
        <v>#REF!</v>
      </c>
      <c r="L163" s="112" t="e">
        <f>IF(D$5=0,0,IF(#REF!="AY",(F163*D$27+G163*D$28)/D$29,'W5'!F163))</f>
        <v>#REF!</v>
      </c>
      <c r="M163" s="112" t="e">
        <f>IF(E$5=0,0,IF(#REF!="AY",(G163*E$27+H163*E$28)/E$29,'W5'!G163))</f>
        <v>#REF!</v>
      </c>
      <c r="N163" s="112" t="e">
        <f>IF(F$5=0,0,IF(#REF!="AY",(H163*F$27+I163*F$28)/F$29,'W5'!H163))</f>
        <v>#REF!</v>
      </c>
      <c r="O163" s="112" t="e">
        <f>IF(G$5=0,0,IF(#REF!="AY",(I163*G$27+J163*G$28)/G$29,'W5'!I163))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IF(C$5=0,0,IF(#REF!="AY",(E164*C$27+F164*C$28)/C$29,'W5'!E164))</f>
        <v>#REF!</v>
      </c>
      <c r="L164" s="112" t="e">
        <f>IF(D$5=0,0,IF(#REF!="AY",(F164*D$27+G164*D$28)/D$29,'W5'!F164))</f>
        <v>#REF!</v>
      </c>
      <c r="M164" s="112" t="e">
        <f>IF(E$5=0,0,IF(#REF!="AY",(G164*E$27+H164*E$28)/E$29,'W5'!G164))</f>
        <v>#REF!</v>
      </c>
      <c r="N164" s="112" t="e">
        <f>IF(F$5=0,0,IF(#REF!="AY",(H164*F$27+I164*F$28)/F$29,'W5'!H164))</f>
        <v>#REF!</v>
      </c>
      <c r="O164" s="112" t="e">
        <f>IF(G$5=0,0,IF(#REF!="AY",(I164*G$27+J164*G$28)/G$29,'W5'!I164))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IF(C$5=0,0,IF(#REF!="AY",(E165*C$27+F165*C$28)/C$29,'W5'!E165))</f>
        <v>#REF!</v>
      </c>
      <c r="L165" s="112" t="e">
        <f>IF(D$5=0,0,IF(#REF!="AY",(F165*D$27+G165*D$28)/D$29,'W5'!F165))</f>
        <v>#REF!</v>
      </c>
      <c r="M165" s="112" t="e">
        <f>IF(E$5=0,0,IF(#REF!="AY",(G165*E$27+H165*E$28)/E$29,'W5'!G165))</f>
        <v>#REF!</v>
      </c>
      <c r="N165" s="112" t="e">
        <f>IF(F$5=0,0,IF(#REF!="AY",(H165*F$27+I165*F$28)/F$29,'W5'!H165))</f>
        <v>#REF!</v>
      </c>
      <c r="O165" s="112" t="e">
        <f>IF(G$5=0,0,IF(#REF!="AY",(I165*G$27+J165*G$28)/G$29,'W5'!I165))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IF(C$5=0,0,IF(#REF!="AY",(E166*C$27+F166*C$28)/C$29,'W5'!E166))</f>
        <v>#REF!</v>
      </c>
      <c r="L166" s="112" t="e">
        <f>IF(D$5=0,0,IF(#REF!="AY",(F166*D$27+G166*D$28)/D$29,'W5'!F166))</f>
        <v>#REF!</v>
      </c>
      <c r="M166" s="112" t="e">
        <f>IF(E$5=0,0,IF(#REF!="AY",(G166*E$27+H166*E$28)/E$29,'W5'!G166))</f>
        <v>#REF!</v>
      </c>
      <c r="N166" s="112" t="e">
        <f>IF(F$5=0,0,IF(#REF!="AY",(H166*F$27+I166*F$28)/F$29,'W5'!H166))</f>
        <v>#REF!</v>
      </c>
      <c r="O166" s="112" t="e">
        <f>IF(G$5=0,0,IF(#REF!="AY",(I166*G$27+J166*G$28)/G$29,'W5'!I166))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IF(C$5=0,0,IF(#REF!="AY",(E167*C$27+F167*C$28)/C$29,'W5'!E167))</f>
        <v>#REF!</v>
      </c>
      <c r="L167" s="112" t="e">
        <f>IF(D$5=0,0,IF(#REF!="AY",(F167*D$27+G167*D$28)/D$29,'W5'!F167))</f>
        <v>#REF!</v>
      </c>
      <c r="M167" s="112" t="e">
        <f>IF(E$5=0,0,IF(#REF!="AY",(G167*E$27+H167*E$28)/E$29,'W5'!G167))</f>
        <v>#REF!</v>
      </c>
      <c r="N167" s="112" t="e">
        <f>IF(F$5=0,0,IF(#REF!="AY",(H167*F$27+I167*F$28)/F$29,'W5'!H167))</f>
        <v>#REF!</v>
      </c>
      <c r="O167" s="112" t="e">
        <f>IF(G$5=0,0,IF(#REF!="AY",(I167*G$27+J167*G$28)/G$29,'W5'!I167))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IF(C$5=0,0,IF(#REF!="AY",(E168*C$27+F168*C$28)/C$29,'W5'!E168))</f>
        <v>#REF!</v>
      </c>
      <c r="L168" s="112" t="e">
        <f>IF(D$5=0,0,IF(#REF!="AY",(F168*D$27+G168*D$28)/D$29,'W5'!F168))</f>
        <v>#REF!</v>
      </c>
      <c r="M168" s="112" t="e">
        <f>IF(E$5=0,0,IF(#REF!="AY",(G168*E$27+H168*E$28)/E$29,'W5'!G168))</f>
        <v>#REF!</v>
      </c>
      <c r="N168" s="112" t="e">
        <f>IF(F$5=0,0,IF(#REF!="AY",(H168*F$27+I168*F$28)/F$29,'W5'!H168))</f>
        <v>#REF!</v>
      </c>
      <c r="O168" s="112" t="e">
        <f>IF(G$5=0,0,IF(#REF!="AY",(I168*G$27+J168*G$28)/G$29,'W5'!I168))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IF(C$5=0,0,IF(#REF!="AY",(E169*C$27+F169*C$28)/C$29,'W5'!E169))</f>
        <v>#REF!</v>
      </c>
      <c r="L169" s="112" t="e">
        <f>IF(D$5=0,0,IF(#REF!="AY",(F169*D$27+G169*D$28)/D$29,'W5'!F169))</f>
        <v>#REF!</v>
      </c>
      <c r="M169" s="112" t="e">
        <f>IF(E$5=0,0,IF(#REF!="AY",(G169*E$27+H169*E$28)/E$29,'W5'!G169))</f>
        <v>#REF!</v>
      </c>
      <c r="N169" s="112" t="e">
        <f>IF(F$5=0,0,IF(#REF!="AY",(H169*F$27+I169*F$28)/F$29,'W5'!H169))</f>
        <v>#REF!</v>
      </c>
      <c r="O169" s="112" t="e">
        <f>IF(G$5=0,0,IF(#REF!="AY",(I169*G$27+J169*G$28)/G$29,'W5'!I169))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IF(C$5=0,0,IF(#REF!="AY",(E170*C$27+F170*C$28)/C$29,'W5'!E170))</f>
        <v>#REF!</v>
      </c>
      <c r="L170" s="112" t="e">
        <f>IF(D$5=0,0,IF(#REF!="AY",(F170*D$27+G170*D$28)/D$29,'W5'!F170))</f>
        <v>#REF!</v>
      </c>
      <c r="M170" s="112" t="e">
        <f>IF(E$5=0,0,IF(#REF!="AY",(G170*E$27+H170*E$28)/E$29,'W5'!G170))</f>
        <v>#REF!</v>
      </c>
      <c r="N170" s="112" t="e">
        <f>IF(F$5=0,0,IF(#REF!="AY",(H170*F$27+I170*F$28)/F$29,'W5'!H170))</f>
        <v>#REF!</v>
      </c>
      <c r="O170" s="112" t="e">
        <f>IF(G$5=0,0,IF(#REF!="AY",(I170*G$27+J170*G$28)/G$29,'W5'!I170))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IF(C$5=0,0,IF(#REF!="AY",(E171*C$27+F171*C$28)/C$29,'W5'!E171))</f>
        <v>#REF!</v>
      </c>
      <c r="L171" s="112" t="e">
        <f>IF(D$5=0,0,IF(#REF!="AY",(F171*D$27+G171*D$28)/D$29,'W5'!F171))</f>
        <v>#REF!</v>
      </c>
      <c r="M171" s="112" t="e">
        <f>IF(E$5=0,0,IF(#REF!="AY",(G171*E$27+H171*E$28)/E$29,'W5'!G171))</f>
        <v>#REF!</v>
      </c>
      <c r="N171" s="112" t="e">
        <f>IF(F$5=0,0,IF(#REF!="AY",(H171*F$27+I171*F$28)/F$29,'W5'!H171))</f>
        <v>#REF!</v>
      </c>
      <c r="O171" s="112" t="e">
        <f>IF(G$5=0,0,IF(#REF!="AY",(I171*G$27+J171*G$28)/G$29,'W5'!I171))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IF(C$5=0,0,IF(#REF!="AY",(E172*C$27+F172*C$28)/C$29,'W5'!E172))</f>
        <v>#REF!</v>
      </c>
      <c r="L172" s="112" t="e">
        <f>IF(D$5=0,0,IF(#REF!="AY",(F172*D$27+G172*D$28)/D$29,'W5'!F172))</f>
        <v>#REF!</v>
      </c>
      <c r="M172" s="112" t="e">
        <f>IF(E$5=0,0,IF(#REF!="AY",(G172*E$27+H172*E$28)/E$29,'W5'!G172))</f>
        <v>#REF!</v>
      </c>
      <c r="N172" s="112" t="e">
        <f>IF(F$5=0,0,IF(#REF!="AY",(H172*F$27+I172*F$28)/F$29,'W5'!H172))</f>
        <v>#REF!</v>
      </c>
      <c r="O172" s="112" t="e">
        <f>IF(G$5=0,0,IF(#REF!="AY",(I172*G$27+J172*G$28)/G$29,'W5'!I172))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IF(C$5=0,0,IF(#REF!="AY",(E173*C$27+F173*C$28)/C$29,'W5'!E173))</f>
        <v>#REF!</v>
      </c>
      <c r="L173" s="112" t="e">
        <f>IF(D$5=0,0,IF(#REF!="AY",(F173*D$27+G173*D$28)/D$29,'W5'!F173))</f>
        <v>#REF!</v>
      </c>
      <c r="M173" s="112" t="e">
        <f>IF(E$5=0,0,IF(#REF!="AY",(G173*E$27+H173*E$28)/E$29,'W5'!G173))</f>
        <v>#REF!</v>
      </c>
      <c r="N173" s="112" t="e">
        <f>IF(F$5=0,0,IF(#REF!="AY",(H173*F$27+I173*F$28)/F$29,'W5'!H173))</f>
        <v>#REF!</v>
      </c>
      <c r="O173" s="112" t="e">
        <f>IF(G$5=0,0,IF(#REF!="AY",(I173*G$27+J173*G$28)/G$29,'W5'!I173))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IF(#REF!="No",(#REF!*B177/12*#REF!),(#REF!*'W5'!B177))</f>
        <v>#REF!</v>
      </c>
      <c r="I177" s="70" t="e">
        <f>IF(#REF!="No",(#REF!*C177/12*#REF!),(#REF!*'W5'!C177))</f>
        <v>#REF!</v>
      </c>
      <c r="J177" s="70" t="e">
        <f>IF(#REF!="No",(#REF!*D177/12*#REF!),(#REF!*'W5'!D177))</f>
        <v>#REF!</v>
      </c>
      <c r="K177" s="70" t="e">
        <f>IF(#REF!="No",(#REF!*E177/12*#REF!),(#REF!*'W5'!E177))</f>
        <v>#REF!</v>
      </c>
      <c r="L177" s="70" t="e">
        <f>IF(#REF!="No",(#REF!*F177/12*#REF!),(#REF!*'W5'!F177))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IF(#REF!="No",(#REF!*B178/12*#REF!),(#REF!*'W5'!B178))</f>
        <v>#REF!</v>
      </c>
      <c r="I178" s="70" t="e">
        <f>IF(#REF!="No",(#REF!*C178/12*#REF!),(#REF!*'W5'!C178))</f>
        <v>#REF!</v>
      </c>
      <c r="J178" s="70" t="e">
        <f>IF(#REF!="No",(#REF!*D178/12*#REF!),(#REF!*'W5'!D178))</f>
        <v>#REF!</v>
      </c>
      <c r="K178" s="70" t="e">
        <f>IF(#REF!="No",(#REF!*E178/12*#REF!),(#REF!*'W5'!E178))</f>
        <v>#REF!</v>
      </c>
      <c r="L178" s="70" t="e">
        <f>IF(#REF!="No",(#REF!*F178/12*#REF!),(#REF!*'W5'!F178))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IF(#REF!="No",(#REF!*B179/12*#REF!),(#REF!*'W5'!B179))</f>
        <v>#REF!</v>
      </c>
      <c r="I179" s="70" t="e">
        <f>IF(#REF!="No",(#REF!*C179/12*#REF!),(#REF!*'W5'!C179))</f>
        <v>#REF!</v>
      </c>
      <c r="J179" s="70" t="e">
        <f>IF(#REF!="No",(#REF!*D179/12*#REF!),(#REF!*'W5'!D179))</f>
        <v>#REF!</v>
      </c>
      <c r="K179" s="70" t="e">
        <f>IF(#REF!="No",(#REF!*E179/12*#REF!),(#REF!*'W5'!E179))</f>
        <v>#REF!</v>
      </c>
      <c r="L179" s="70" t="e">
        <f>IF(#REF!="No",(#REF!*F179/12*#REF!),(#REF!*'W5'!F179))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IF(#REF!="No",(#REF!*B180/12*#REF!),(#REF!*'W5'!B180))</f>
        <v>#REF!</v>
      </c>
      <c r="I180" s="70" t="e">
        <f>IF(#REF!="No",(#REF!*C180/12*#REF!),(#REF!*'W5'!C180))</f>
        <v>#REF!</v>
      </c>
      <c r="J180" s="70" t="e">
        <f>IF(#REF!="No",(#REF!*D180/12*#REF!),(#REF!*'W5'!D180))</f>
        <v>#REF!</v>
      </c>
      <c r="K180" s="70" t="e">
        <f>IF(#REF!="No",(#REF!*E180/12*#REF!),(#REF!*'W5'!E180))</f>
        <v>#REF!</v>
      </c>
      <c r="L180" s="70" t="e">
        <f>IF(#REF!="No",(#REF!*F180/12*#REF!),(#REF!*'W5'!F180))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IF(#REF!="No",(#REF!*B181/12*#REF!),(#REF!*'W5'!B181))</f>
        <v>#REF!</v>
      </c>
      <c r="I181" s="70" t="e">
        <f>IF(#REF!="No",(#REF!*C181/12*#REF!),(#REF!*'W5'!C181))</f>
        <v>#REF!</v>
      </c>
      <c r="J181" s="70" t="e">
        <f>IF(#REF!="No",(#REF!*D181/12*#REF!),(#REF!*'W5'!D181))</f>
        <v>#REF!</v>
      </c>
      <c r="K181" s="70" t="e">
        <f>IF(#REF!="No",(#REF!*E181/12*#REF!),(#REF!*'W5'!E181))</f>
        <v>#REF!</v>
      </c>
      <c r="L181" s="70" t="e">
        <f>IF(#REF!="No",(#REF!*F181/12*#REF!),(#REF!*'W5'!F181))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IF(#REF!="No",(#REF!*B182/12*#REF!),(#REF!*'W5'!B182))</f>
        <v>#REF!</v>
      </c>
      <c r="I182" s="70" t="e">
        <f>IF(#REF!="No",(#REF!*C182/12*#REF!),(#REF!*'W5'!C182))</f>
        <v>#REF!</v>
      </c>
      <c r="J182" s="70" t="e">
        <f>IF(#REF!="No",(#REF!*D182/12*#REF!),(#REF!*'W5'!D182))</f>
        <v>#REF!</v>
      </c>
      <c r="K182" s="70" t="e">
        <f>IF(#REF!="No",(#REF!*E182/12*#REF!),(#REF!*'W5'!E182))</f>
        <v>#REF!</v>
      </c>
      <c r="L182" s="70" t="e">
        <f>IF(#REF!="No",(#REF!*F182/12*#REF!),(#REF!*'W5'!F182))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IF(#REF!="No",(#REF!*B183/12*#REF!),(#REF!*'W5'!B183))</f>
        <v>#REF!</v>
      </c>
      <c r="I183" s="70" t="e">
        <f>IF(#REF!="No",(#REF!*C183/12*#REF!),(#REF!*'W5'!C183))</f>
        <v>#REF!</v>
      </c>
      <c r="J183" s="70" t="e">
        <f>IF(#REF!="No",(#REF!*D183/12*#REF!),(#REF!*'W5'!D183))</f>
        <v>#REF!</v>
      </c>
      <c r="K183" s="70" t="e">
        <f>IF(#REF!="No",(#REF!*E183/12*#REF!),(#REF!*'W5'!E183))</f>
        <v>#REF!</v>
      </c>
      <c r="L183" s="70" t="e">
        <f>IF(#REF!="No",(#REF!*F183/12*#REF!),(#REF!*'W5'!F183))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IF(#REF!="No",(#REF!*B184/12*#REF!),(#REF!*'W5'!B184))</f>
        <v>#REF!</v>
      </c>
      <c r="I184" s="70" t="e">
        <f>IF(#REF!="No",(#REF!*C184/12*#REF!),(#REF!*'W5'!C184))</f>
        <v>#REF!</v>
      </c>
      <c r="J184" s="70" t="e">
        <f>IF(#REF!="No",(#REF!*D184/12*#REF!),(#REF!*'W5'!D184))</f>
        <v>#REF!</v>
      </c>
      <c r="K184" s="70" t="e">
        <f>IF(#REF!="No",(#REF!*E184/12*#REF!),(#REF!*'W5'!E184))</f>
        <v>#REF!</v>
      </c>
      <c r="L184" s="70" t="e">
        <f>IF(#REF!="No",(#REF!*F184/12*#REF!),(#REF!*'W5'!F184))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IF(#REF!="No",(#REF!*B185/12*#REF!),(#REF!*'W5'!B185))</f>
        <v>#REF!</v>
      </c>
      <c r="I185" s="70" t="e">
        <f>IF(#REF!="No",(#REF!*C185/12*#REF!),(#REF!*'W5'!C185))</f>
        <v>#REF!</v>
      </c>
      <c r="J185" s="70" t="e">
        <f>IF(#REF!="No",(#REF!*D185/12*#REF!),(#REF!*'W5'!D185))</f>
        <v>#REF!</v>
      </c>
      <c r="K185" s="70" t="e">
        <f>IF(#REF!="No",(#REF!*E185/12*#REF!),(#REF!*'W5'!E185))</f>
        <v>#REF!</v>
      </c>
      <c r="L185" s="70" t="e">
        <f>IF(#REF!="No",(#REF!*F185/12*#REF!),(#REF!*'W5'!F185))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IF(#REF!="No",(#REF!*B186/12*#REF!),(#REF!*'W5'!B186))</f>
        <v>#REF!</v>
      </c>
      <c r="I186" s="70" t="e">
        <f>IF(#REF!="No",(#REF!*C186/12*#REF!),(#REF!*'W5'!C186))</f>
        <v>#REF!</v>
      </c>
      <c r="J186" s="70" t="e">
        <f>IF(#REF!="No",(#REF!*D186/12*#REF!),(#REF!*'W5'!D186))</f>
        <v>#REF!</v>
      </c>
      <c r="K186" s="70" t="e">
        <f>IF(#REF!="No",(#REF!*E186/12*#REF!),(#REF!*'W5'!E186))</f>
        <v>#REF!</v>
      </c>
      <c r="L186" s="70" t="e">
        <f>IF(#REF!="No",(#REF!*F186/12*#REF!),(#REF!*'W5'!F186))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IF(#REF!="No",(#REF!*B187/12*#REF!),(#REF!*'W5'!B187))</f>
        <v>#REF!</v>
      </c>
      <c r="I187" s="70" t="e">
        <f>IF(#REF!="No",(#REF!*C187/12*#REF!),(#REF!*'W5'!C187))</f>
        <v>#REF!</v>
      </c>
      <c r="J187" s="70" t="e">
        <f>IF(#REF!="No",(#REF!*D187/12*#REF!),(#REF!*'W5'!D187))</f>
        <v>#REF!</v>
      </c>
      <c r="K187" s="70" t="e">
        <f>IF(#REF!="No",(#REF!*E187/12*#REF!),(#REF!*'W5'!E187))</f>
        <v>#REF!</v>
      </c>
      <c r="L187" s="70" t="e">
        <f>IF(#REF!="No",(#REF!*F187/12*#REF!),(#REF!*'W5'!F187))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IF(#REF!="No",(#REF!*B188/12*#REF!),(#REF!*'W5'!B188))</f>
        <v>#REF!</v>
      </c>
      <c r="I188" s="70" t="e">
        <f>IF(#REF!="No",(#REF!*C188/12*#REF!),(#REF!*'W5'!C188))</f>
        <v>#REF!</v>
      </c>
      <c r="J188" s="70" t="e">
        <f>IF(#REF!="No",(#REF!*D188/12*#REF!),(#REF!*'W5'!D188))</f>
        <v>#REF!</v>
      </c>
      <c r="K188" s="70" t="e">
        <f>IF(#REF!="No",(#REF!*E188/12*#REF!),(#REF!*'W5'!E188))</f>
        <v>#REF!</v>
      </c>
      <c r="L188" s="70" t="e">
        <f>IF(#REF!="No",(#REF!*F188/12*#REF!),(#REF!*'W5'!F188))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IF(#REF!="No",(#REF!*B189/12*#REF!),(#REF!*'W5'!B189))</f>
        <v>#REF!</v>
      </c>
      <c r="I189" s="70" t="e">
        <f>IF(#REF!="No",(#REF!*C189/12*#REF!),(#REF!*'W5'!C189))</f>
        <v>#REF!</v>
      </c>
      <c r="J189" s="70" t="e">
        <f>IF(#REF!="No",(#REF!*D189/12*#REF!),(#REF!*'W5'!D189))</f>
        <v>#REF!</v>
      </c>
      <c r="K189" s="70" t="e">
        <f>IF(#REF!="No",(#REF!*E189/12*#REF!),(#REF!*'W5'!E189))</f>
        <v>#REF!</v>
      </c>
      <c r="L189" s="70" t="e">
        <f>IF(#REF!="No",(#REF!*F189/12*#REF!),(#REF!*'W5'!F189))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IF(#REF!="No",(#REF!*B190/12*#REF!),(#REF!*'W5'!B190))</f>
        <v>#REF!</v>
      </c>
      <c r="I190" s="70" t="e">
        <f>IF(#REF!="No",(#REF!*C190/12*#REF!),(#REF!*'W5'!C190))</f>
        <v>#REF!</v>
      </c>
      <c r="J190" s="70" t="e">
        <f>IF(#REF!="No",(#REF!*D190/12*#REF!),(#REF!*'W5'!D190))</f>
        <v>#REF!</v>
      </c>
      <c r="K190" s="70" t="e">
        <f>IF(#REF!="No",(#REF!*E190/12*#REF!),(#REF!*'W5'!E190))</f>
        <v>#REF!</v>
      </c>
      <c r="L190" s="70" t="e">
        <f>IF(#REF!="No",(#REF!*F190/12*#REF!),(#REF!*'W5'!F190))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IF(#REF!="No",(#REF!*B191/12*#REF!),(#REF!*'W5'!B191))</f>
        <v>#REF!</v>
      </c>
      <c r="I191" s="70" t="e">
        <f>IF(#REF!="No",(#REF!*C191/12*#REF!),(#REF!*'W5'!C191))</f>
        <v>#REF!</v>
      </c>
      <c r="J191" s="70" t="e">
        <f>IF(#REF!="No",(#REF!*D191/12*#REF!),(#REF!*'W5'!D191))</f>
        <v>#REF!</v>
      </c>
      <c r="K191" s="70" t="e">
        <f>IF(#REF!="No",(#REF!*E191/12*#REF!),(#REF!*'W5'!E191))</f>
        <v>#REF!</v>
      </c>
      <c r="L191" s="70" t="e">
        <f>IF(#REF!="No",(#REF!*F191/12*#REF!),(#REF!*'W5'!F191))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IF(#REF!="No",(#REF!*B192/12*#REF!),(#REF!*'W5'!B192))</f>
        <v>#REF!</v>
      </c>
      <c r="I192" s="70" t="e">
        <f>IF(#REF!="No",(#REF!*C192/12*#REF!),(#REF!*'W5'!C192))</f>
        <v>#REF!</v>
      </c>
      <c r="J192" s="70" t="e">
        <f>IF(#REF!="No",(#REF!*D192/12*#REF!),(#REF!*'W5'!D192))</f>
        <v>#REF!</v>
      </c>
      <c r="K192" s="70" t="e">
        <f>IF(#REF!="No",(#REF!*E192/12*#REF!),(#REF!*'W5'!E192))</f>
        <v>#REF!</v>
      </c>
      <c r="L192" s="70" t="e">
        <f>IF(#REF!="No",(#REF!*F192/12*#REF!),(#REF!*'W5'!F192))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IF(#REF!="No",(#REF!*B193/12*#REF!),(#REF!*'W5'!B193))</f>
        <v>#REF!</v>
      </c>
      <c r="I193" s="70" t="e">
        <f>IF(#REF!="No",(#REF!*C193/12*#REF!),(#REF!*'W5'!C193))</f>
        <v>#REF!</v>
      </c>
      <c r="J193" s="70" t="e">
        <f>IF(#REF!="No",(#REF!*D193/12*#REF!),(#REF!*'W5'!D193))</f>
        <v>#REF!</v>
      </c>
      <c r="K193" s="70" t="e">
        <f>IF(#REF!="No",(#REF!*E193/12*#REF!),(#REF!*'W5'!E193))</f>
        <v>#REF!</v>
      </c>
      <c r="L193" s="70" t="e">
        <f>IF(#REF!="No",(#REF!*F193/12*#REF!),(#REF!*'W5'!F193))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IF(#REF!="No",(#REF!*B194/12*#REF!),(#REF!*'W5'!B194))</f>
        <v>#REF!</v>
      </c>
      <c r="I194" s="70" t="e">
        <f>IF(#REF!="No",(#REF!*C194/12*#REF!),(#REF!*'W5'!C194))</f>
        <v>#REF!</v>
      </c>
      <c r="J194" s="70" t="e">
        <f>IF(#REF!="No",(#REF!*D194/12*#REF!),(#REF!*'W5'!D194))</f>
        <v>#REF!</v>
      </c>
      <c r="K194" s="70" t="e">
        <f>IF(#REF!="No",(#REF!*E194/12*#REF!),(#REF!*'W5'!E194))</f>
        <v>#REF!</v>
      </c>
      <c r="L194" s="70" t="e">
        <f>IF(#REF!="No",(#REF!*F194/12*#REF!),(#REF!*'W5'!F194))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IF(#REF!="No",(#REF!*B195/12*#REF!),(#REF!*'W5'!B195))</f>
        <v>#REF!</v>
      </c>
      <c r="I195" s="70" t="e">
        <f>IF(#REF!="No",(#REF!*C195/12*#REF!),(#REF!*'W5'!C195))</f>
        <v>#REF!</v>
      </c>
      <c r="J195" s="70" t="e">
        <f>IF(#REF!="No",(#REF!*D195/12*#REF!),(#REF!*'W5'!D195))</f>
        <v>#REF!</v>
      </c>
      <c r="K195" s="70" t="e">
        <f>IF(#REF!="No",(#REF!*E195/12*#REF!),(#REF!*'W5'!E195))</f>
        <v>#REF!</v>
      </c>
      <c r="L195" s="70" t="e">
        <f>IF(#REF!="No",(#REF!*F195/12*#REF!),(#REF!*'W5'!F195))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IF(#REF!="No",(#REF!*B196/12*#REF!),(#REF!*'W5'!B196))</f>
        <v>#REF!</v>
      </c>
      <c r="I196" s="70" t="e">
        <f>IF(#REF!="No",(#REF!*C196/12*#REF!),(#REF!*'W5'!C196))</f>
        <v>#REF!</v>
      </c>
      <c r="J196" s="70" t="e">
        <f>IF(#REF!="No",(#REF!*D196/12*#REF!),(#REF!*'W5'!D196))</f>
        <v>#REF!</v>
      </c>
      <c r="K196" s="70" t="e">
        <f>IF(#REF!="No",(#REF!*E196/12*#REF!),(#REF!*'W5'!E196))</f>
        <v>#REF!</v>
      </c>
      <c r="L196" s="70" t="e">
        <f>IF(#REF!="No",(#REF!*F196/12*#REF!),(#REF!*'W5'!F196))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IF(#REF!="No",(#REF!*B197/12*#REF!),(#REF!*'W5'!B197))</f>
        <v>#REF!</v>
      </c>
      <c r="I197" s="70" t="e">
        <f>IF(#REF!="No",(#REF!*C197/12*#REF!),(#REF!*'W5'!C197))</f>
        <v>#REF!</v>
      </c>
      <c r="J197" s="70" t="e">
        <f>IF(#REF!="No",(#REF!*D197/12*#REF!),(#REF!*'W5'!D197))</f>
        <v>#REF!</v>
      </c>
      <c r="K197" s="70" t="e">
        <f>IF(#REF!="No",(#REF!*E197/12*#REF!),(#REF!*'W5'!E197))</f>
        <v>#REF!</v>
      </c>
      <c r="L197" s="70" t="e">
        <f>IF(#REF!="No",(#REF!*F197/12*#REF!),(#REF!*'W5'!F197))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IF(#REF!="No",(#REF!*B198/12*#REF!),(#REF!*'W5'!B198))</f>
        <v>#REF!</v>
      </c>
      <c r="I198" s="70" t="e">
        <f>IF(#REF!="No",(#REF!*C198/12*#REF!),(#REF!*'W5'!C198))</f>
        <v>#REF!</v>
      </c>
      <c r="J198" s="70" t="e">
        <f>IF(#REF!="No",(#REF!*D198/12*#REF!),(#REF!*'W5'!D198))</f>
        <v>#REF!</v>
      </c>
      <c r="K198" s="70" t="e">
        <f>IF(#REF!="No",(#REF!*E198/12*#REF!),(#REF!*'W5'!E198))</f>
        <v>#REF!</v>
      </c>
      <c r="L198" s="70" t="e">
        <f>IF(#REF!="No",(#REF!*F198/12*#REF!),(#REF!*'W5'!F198))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IF(#REF!="No",(#REF!*B199/12*#REF!),(#REF!*'W5'!B199))</f>
        <v>#REF!</v>
      </c>
      <c r="I199" s="70" t="e">
        <f>IF(#REF!="No",(#REF!*C199/12*#REF!),(#REF!*'W5'!C199))</f>
        <v>#REF!</v>
      </c>
      <c r="J199" s="70" t="e">
        <f>IF(#REF!="No",(#REF!*D199/12*#REF!),(#REF!*'W5'!D199))</f>
        <v>#REF!</v>
      </c>
      <c r="K199" s="70" t="e">
        <f>IF(#REF!="No",(#REF!*E199/12*#REF!),(#REF!*'W5'!E199))</f>
        <v>#REF!</v>
      </c>
      <c r="L199" s="70" t="e">
        <f>IF(#REF!="No",(#REF!*F199/12*#REF!),(#REF!*'W5'!F199))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IF(#REF!="No",(#REF!*B200/12*#REF!),(#REF!*'W5'!B200))</f>
        <v>#REF!</v>
      </c>
      <c r="I200" s="70" t="e">
        <f>IF(#REF!="No",(#REF!*C200/12*#REF!),(#REF!*'W5'!C200))</f>
        <v>#REF!</v>
      </c>
      <c r="J200" s="70" t="e">
        <f>IF(#REF!="No",(#REF!*D200/12*#REF!),(#REF!*'W5'!D200))</f>
        <v>#REF!</v>
      </c>
      <c r="K200" s="70" t="e">
        <f>IF(#REF!="No",(#REF!*E200/12*#REF!),(#REF!*'W5'!E200))</f>
        <v>#REF!</v>
      </c>
      <c r="L200" s="70" t="e">
        <f>IF(#REF!="No",(#REF!*F200/12*#REF!),(#REF!*'W5'!F200))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ROUND(#REF!/'W5'!H177*'W5'!B248*'W5'!$B$247+#REF!/'W5'!H177*'W5'!C248*'W5'!C247,0)</f>
        <v>#REF!</v>
      </c>
      <c r="C301" s="300"/>
      <c r="D301" s="302" t="e">
        <f>ROUND(#REF!/(D248+E248)*'W5'!D248*'W5'!D$247+#REF!/(D248+E248)*'W5'!E248*'W5'!E$247,0)</f>
        <v>#REF!</v>
      </c>
      <c r="E301" s="300"/>
      <c r="F301" s="302" t="e">
        <f>ROUND(#REF!/(F248+G248)*'W5'!F248*'W5'!F$247+#REF!/(F248+G248)*'W5'!G248*'W5'!G$247,0)</f>
        <v>#REF!</v>
      </c>
      <c r="G301" s="300"/>
      <c r="H301" s="302" t="e">
        <f>ROUND(#REF!/(H248+I248)*'W5'!H248*'W5'!H$247+#REF!/(H248+I248)*'W5'!I248*'W5'!I$247,0)</f>
        <v>#REF!</v>
      </c>
      <c r="I301" s="300"/>
      <c r="J301" s="302" t="e">
        <f>IF(J275=0,"",ROUND(#REF!/(J248+K248)*'W5'!J248*'W5'!J$247+#REF!/(J248+K248)*'W5'!K248*'W5'!K$247,0))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ROUND(#REF!/'W5'!H178*'W5'!B249*'W5'!$B$247+#REF!/'W5'!H178*'W5'!C249*'W5'!$C$247,0)</f>
        <v>#REF!</v>
      </c>
      <c r="C302" s="300"/>
      <c r="D302" s="302" t="e">
        <f>ROUND(#REF!/(D249+E249)*'W5'!D249*'W5'!D$247+#REF!/(D249+E249)*'W5'!E249*'W5'!E$247,0)</f>
        <v>#REF!</v>
      </c>
      <c r="E302" s="300"/>
      <c r="F302" s="302" t="e">
        <f>ROUND(#REF!/(F249+G249)*'W5'!F249*'W5'!F$247+#REF!/(F249+G249)*'W5'!G249*'W5'!G$247,0)</f>
        <v>#REF!</v>
      </c>
      <c r="G302" s="300"/>
      <c r="H302" s="302" t="e">
        <f>ROUND(#REF!/(H249+I249)*'W5'!H249*'W5'!H$247+#REF!/(H249+I249)*'W5'!I249*'W5'!I$247,0)</f>
        <v>#REF!</v>
      </c>
      <c r="I302" s="300"/>
      <c r="J302" s="302" t="e">
        <f>IF(J276=0,"",ROUND(#REF!/(J249+K249)*'W5'!J249*'W5'!J$247+#REF!/(J249+K249)*'W5'!K249*'W5'!K$247,0))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ROUND(#REF!/'W5'!H179*'W5'!B250*'W5'!$B$247+#REF!/'W5'!H179*'W5'!C250*'W5'!$C$247,0)</f>
        <v>#REF!</v>
      </c>
      <c r="C303" s="300"/>
      <c r="D303" s="302" t="e">
        <f>ROUND(#REF!/(D250+E250)*'W5'!D250*'W5'!D$247+#REF!/(D250+E250)*'W5'!E250*'W5'!E$247,0)</f>
        <v>#REF!</v>
      </c>
      <c r="E303" s="300"/>
      <c r="F303" s="302" t="e">
        <f>ROUND(#REF!/(F250+G250)*'W5'!F250*'W5'!F$247+#REF!/(F250+G250)*'W5'!G250*'W5'!G$247,0)</f>
        <v>#REF!</v>
      </c>
      <c r="G303" s="300"/>
      <c r="H303" s="302" t="e">
        <f>ROUND(#REF!/(H250+I250)*'W5'!H250*'W5'!H$247+#REF!/(H250+I250)*'W5'!I250*'W5'!I$247,0)</f>
        <v>#REF!</v>
      </c>
      <c r="I303" s="300"/>
      <c r="J303" s="302" t="e">
        <f>IF(J277=0,"",ROUND(#REF!/(J250+K250)*'W5'!J250*'W5'!J$247+#REF!/(J250+K250)*'W5'!K250*'W5'!K$247,0))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ROUND(#REF!/'W5'!H180*'W5'!B251*'W5'!$B$247+#REF!/'W5'!H180*'W5'!C251*'W5'!$C$247,0)</f>
        <v>#REF!</v>
      </c>
      <c r="C304" s="300"/>
      <c r="D304" s="302" t="e">
        <f>ROUND(#REF!/(D251+E251)*'W5'!D251*'W5'!D$247+#REF!/(D251+E251)*'W5'!E251*'W5'!E$247,0)</f>
        <v>#REF!</v>
      </c>
      <c r="E304" s="300"/>
      <c r="F304" s="302" t="e">
        <f>ROUND(#REF!/(F251+G251)*'W5'!F251*'W5'!F$247+#REF!/(F251+G251)*'W5'!G251*'W5'!G$247,0)</f>
        <v>#REF!</v>
      </c>
      <c r="G304" s="300"/>
      <c r="H304" s="302" t="e">
        <f>ROUND(#REF!/(H251+I251)*'W5'!H251*'W5'!H$247+#REF!/(H251+I251)*'W5'!I251*'W5'!I$247,0)</f>
        <v>#REF!</v>
      </c>
      <c r="I304" s="300"/>
      <c r="J304" s="302" t="e">
        <f>IF(J278=0,"",ROUND(#REF!/(J251+K251)*'W5'!J251*'W5'!J$247+#REF!/(J251+K251)*'W5'!K251*'W5'!K$247,0))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IF((B252+C252)&lt;&gt;0,ROUND(#REF!/'W5'!H181*'W5'!B252*'W5'!$B$247+#REF!/'W5'!H181*'W5'!C252*'W5'!$C$247,0),0)</f>
        <v>#REF!</v>
      </c>
      <c r="C305" s="300"/>
      <c r="D305" s="302" t="e">
        <f>ROUND(#REF!/(D252+E252)*'W5'!D252*'W5'!D$247+#REF!/(D252+E252)*'W5'!E252*'W5'!E$247,0)</f>
        <v>#REF!</v>
      </c>
      <c r="E305" s="300"/>
      <c r="F305" s="302" t="e">
        <f>ROUND(#REF!/(F252+G252)*'W5'!F252*'W5'!F$247+#REF!/(F252+G252)*'W5'!G252*'W5'!G$247,0)</f>
        <v>#REF!</v>
      </c>
      <c r="G305" s="300"/>
      <c r="H305" s="302" t="e">
        <f>ROUND(#REF!/(H252+I252)*'W5'!H252*'W5'!H$247+#REF!/(H252+I252)*'W5'!I252*'W5'!I$247,0)</f>
        <v>#REF!</v>
      </c>
      <c r="I305" s="300"/>
      <c r="J305" s="302" t="e">
        <f>IF(J279=0,"",ROUND(#REF!/(J252+K252)*'W5'!J252*'W5'!J$247+#REF!/(J252+K252)*'W5'!K252*'W5'!K$247,0))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IF((B253+C253)&lt;&gt;0,ROUND(#REF!/'W5'!H182*'W5'!B253*'W5'!$B$247+#REF!/'W5'!H182*'W5'!C253*'W5'!$C$247,0),0)</f>
        <v>#REF!</v>
      </c>
      <c r="C306" s="300"/>
      <c r="D306" s="302" t="e">
        <f>ROUND(#REF!/(D253+E253)*'W5'!D253*'W5'!D$247+#REF!/(D253+E253)*'W5'!E253*'W5'!E$247,0)</f>
        <v>#REF!</v>
      </c>
      <c r="E306" s="300"/>
      <c r="F306" s="302" t="e">
        <f>ROUND(#REF!/(F253+G253)*'W5'!F253*'W5'!F$247+#REF!/(F253+G253)*'W5'!G253*'W5'!G$247,0)</f>
        <v>#REF!</v>
      </c>
      <c r="G306" s="300"/>
      <c r="H306" s="302" t="e">
        <f>ROUND(#REF!/(H253+I253)*'W5'!H253*'W5'!H$247+#REF!/(H253+I253)*'W5'!I253*'W5'!I$247,0)</f>
        <v>#REF!</v>
      </c>
      <c r="I306" s="300"/>
      <c r="J306" s="302" t="e">
        <f>IF(J280=0,"",ROUND(#REF!/(J253+K253)*'W5'!J253*'W5'!J$247+#REF!/(J253+K253)*'W5'!K253*'W5'!K$247,0))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IF((B254+C254)&lt;&gt;0,ROUND(#REF!/'W5'!H183*'W5'!B254*'W5'!$B$247+#REF!/'W5'!H183*'W5'!C254*'W5'!$C$247,0),0)</f>
        <v>#REF!</v>
      </c>
      <c r="C307" s="300"/>
      <c r="D307" s="302" t="e">
        <f>ROUND(#REF!/(D254+E254)*'W5'!D254*'W5'!D$247+#REF!/(D254+E254)*'W5'!E254*'W5'!E$247,0)</f>
        <v>#REF!</v>
      </c>
      <c r="E307" s="300"/>
      <c r="F307" s="302" t="e">
        <f>ROUND(#REF!/(F254+G254)*'W5'!F254*'W5'!F$247+#REF!/(F254+G254)*'W5'!G254*'W5'!G$247,0)</f>
        <v>#REF!</v>
      </c>
      <c r="G307" s="300"/>
      <c r="H307" s="302" t="e">
        <f>ROUND(#REF!/(H254+I254)*'W5'!H254*'W5'!H$247+#REF!/(H254+I254)*'W5'!I254*'W5'!I$247,0)</f>
        <v>#REF!</v>
      </c>
      <c r="I307" s="300"/>
      <c r="J307" s="302" t="e">
        <f>IF(J281=0,"",ROUND(#REF!/(J254+K254)*'W5'!J254*'W5'!J$247+#REF!/(J254+K254)*'W5'!K254*'W5'!K$247,0))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IF((B255+C255)&lt;&gt;0,ROUND(#REF!/'W5'!H184*'W5'!B255*'W5'!$B$247+#REF!/'W5'!H184*'W5'!C255*'W5'!$C$247,0),0)</f>
        <v>#REF!</v>
      </c>
      <c r="C308" s="300"/>
      <c r="D308" s="302" t="e">
        <f>ROUND(#REF!/(D255+E255)*'W5'!D255*'W5'!D$247+#REF!/(D255+E255)*'W5'!E255*'W5'!E$247,0)</f>
        <v>#REF!</v>
      </c>
      <c r="E308" s="300"/>
      <c r="F308" s="302" t="e">
        <f>ROUND(#REF!/(F255+G255)*'W5'!F255*'W5'!F$247+#REF!/(F255+G255)*'W5'!G255*'W5'!G$247,0)</f>
        <v>#REF!</v>
      </c>
      <c r="G308" s="300"/>
      <c r="H308" s="302" t="e">
        <f>ROUND(#REF!/(H255+I255)*'W5'!H255*'W5'!H$247+#REF!/(H255+I255)*'W5'!I255*'W5'!I$247,0)</f>
        <v>#REF!</v>
      </c>
      <c r="I308" s="300"/>
      <c r="J308" s="302" t="e">
        <f>IF(J282=0,"",ROUND(#REF!/(J255+K255)*'W5'!J255*'W5'!J$247+#REF!/(J255+K255)*'W5'!K255*'W5'!K$247,0))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IF((B256+C256)&lt;&gt;0,ROUND(#REF!/'W5'!H185*'W5'!B256*'W5'!$B$247+#REF!/'W5'!H185*'W5'!C256*'W5'!$C$247,0),0)</f>
        <v>#REF!</v>
      </c>
      <c r="C309" s="300"/>
      <c r="D309" s="302" t="e">
        <f>ROUND(#REF!/(D256+E256)*'W5'!D256*'W5'!D$247+#REF!/(D256+E256)*'W5'!E256*'W5'!E$247,0)</f>
        <v>#REF!</v>
      </c>
      <c r="E309" s="300"/>
      <c r="F309" s="302" t="e">
        <f>ROUND(#REF!/(F256+G256)*'W5'!F256*'W5'!F$247+#REF!/(F256+G256)*'W5'!G256*'W5'!G$247,0)</f>
        <v>#REF!</v>
      </c>
      <c r="G309" s="300"/>
      <c r="H309" s="302" t="e">
        <f>ROUND(#REF!/(H256+I256)*'W5'!H256*'W5'!H$247+#REF!/(H256+I256)*'W5'!I256*'W5'!I$247,0)</f>
        <v>#REF!</v>
      </c>
      <c r="I309" s="300"/>
      <c r="J309" s="302" t="e">
        <f>IF(J283=0,"",ROUND(#REF!/(J256+K256)*'W5'!J256*'W5'!J$247+#REF!/(J256+K256)*'W5'!K256*'W5'!K$247,0))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IF((B257+C257)&lt;&gt;0,ROUND(#REF!/'W5'!H186*'W5'!B257*'W5'!$B$247+#REF!/'W5'!H186*'W5'!C257*'W5'!$C$247,0),0)</f>
        <v>#REF!</v>
      </c>
      <c r="C310" s="300"/>
      <c r="D310" s="302" t="e">
        <f>ROUND(#REF!/(D257+E257)*'W5'!D257*'W5'!D$247+#REF!/(D257+E257)*'W5'!E257*'W5'!E$247,0)</f>
        <v>#REF!</v>
      </c>
      <c r="E310" s="300"/>
      <c r="F310" s="302" t="e">
        <f>ROUND(#REF!/(F257+G257)*'W5'!F257*'W5'!F$247+#REF!/(F257+G257)*'W5'!G257*'W5'!G$247,0)</f>
        <v>#REF!</v>
      </c>
      <c r="G310" s="300"/>
      <c r="H310" s="302" t="e">
        <f>ROUND(#REF!/(H257+I257)*'W5'!H257*'W5'!H$247+#REF!/(H257+I257)*'W5'!I257*'W5'!I$247,0)</f>
        <v>#REF!</v>
      </c>
      <c r="I310" s="300"/>
      <c r="J310" s="302" t="e">
        <f>IF(J284=0,"",ROUND(#REF!/(J257+K257)*'W5'!J257*'W5'!J$247+#REF!/(J257+K257)*'W5'!K257*'W5'!K$247,0))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IF((B258+C258)&lt;&gt;0,ROUND(#REF!/'W5'!H187*'W5'!B258*'W5'!$B$247+#REF!/'W5'!H187*'W5'!C258*'W5'!$C$247,0),0)</f>
        <v>#REF!</v>
      </c>
      <c r="C311" s="300"/>
      <c r="D311" s="302" t="e">
        <f>ROUND(#REF!/(D258+E258)*'W5'!D258*'W5'!D$247+#REF!/(D258+E258)*'W5'!E258*'W5'!E$247,0)</f>
        <v>#REF!</v>
      </c>
      <c r="E311" s="300"/>
      <c r="F311" s="302" t="e">
        <f>ROUND(#REF!/(F258+G258)*'W5'!F258*'W5'!F$247+#REF!/(F258+G258)*'W5'!G258*'W5'!G$247,0)</f>
        <v>#REF!</v>
      </c>
      <c r="G311" s="300"/>
      <c r="H311" s="302" t="e">
        <f>ROUND(#REF!/(H258+I258)*'W5'!H258*'W5'!H$247+#REF!/(H258+I258)*'W5'!I258*'W5'!I$247,0)</f>
        <v>#REF!</v>
      </c>
      <c r="I311" s="300"/>
      <c r="J311" s="302" t="e">
        <f>IF(J285=0,"",ROUND(#REF!/(J258+K258)*'W5'!J258*'W5'!J$247+#REF!/(J258+K258)*'W5'!K258*'W5'!K$247,0))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IF((B259+C259)&lt;&gt;0,ROUND(#REF!/'W5'!H188*'W5'!B259*'W5'!$B$247+#REF!/'W5'!H188*'W5'!C259*'W5'!$C$247,0),0)</f>
        <v>#REF!</v>
      </c>
      <c r="C312" s="300"/>
      <c r="D312" s="302" t="e">
        <f>ROUND(#REF!/(D259+E259)*'W5'!D259*'W5'!D$247+#REF!/(D259+E259)*'W5'!E259*'W5'!E$247,0)</f>
        <v>#REF!</v>
      </c>
      <c r="E312" s="300"/>
      <c r="F312" s="302" t="e">
        <f>ROUND(#REF!/(F259+G259)*'W5'!F259*'W5'!F$247+#REF!/(F259+G259)*'W5'!G259*'W5'!G$247,0)</f>
        <v>#REF!</v>
      </c>
      <c r="G312" s="300"/>
      <c r="H312" s="302" t="e">
        <f>ROUND(#REF!/(H259+I259)*'W5'!H259*'W5'!H$247+#REF!/(H259+I259)*'W5'!I259*'W5'!I$247,0)</f>
        <v>#REF!</v>
      </c>
      <c r="I312" s="300"/>
      <c r="J312" s="302" t="e">
        <f>IF(J286=0,"",ROUND(#REF!/(J259+K259)*'W5'!J259*'W5'!J$247+#REF!/(J259+K259)*'W5'!K259*'W5'!K$247,0))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IF((B260+C260)&lt;&gt;0,ROUND(#REF!/'W5'!H189*'W5'!B260*'W5'!$B$247+#REF!/'W5'!H189*'W5'!C260*'W5'!$C$247,0),0)</f>
        <v>#REF!</v>
      </c>
      <c r="C313" s="300"/>
      <c r="D313" s="302" t="e">
        <f>ROUND(#REF!/(D260+E260)*'W5'!D260*'W5'!D$247+#REF!/(D260+E260)*'W5'!E260*'W5'!E$247,0)</f>
        <v>#REF!</v>
      </c>
      <c r="E313" s="300"/>
      <c r="F313" s="302" t="e">
        <f>ROUND(#REF!/(F260+G260)*'W5'!F260*'W5'!F$247+#REF!/(F260+G260)*'W5'!G260*'W5'!G$247,0)</f>
        <v>#REF!</v>
      </c>
      <c r="G313" s="300"/>
      <c r="H313" s="302" t="e">
        <f>ROUND(#REF!/(H260+I260)*'W5'!H260*'W5'!H$247+#REF!/(H260+I260)*'W5'!I260*'W5'!I$247,0)</f>
        <v>#REF!</v>
      </c>
      <c r="I313" s="300"/>
      <c r="J313" s="302" t="e">
        <f>IF(J287=0,"",ROUND(#REF!/(J260+K260)*'W5'!J260*'W5'!J$247+#REF!/(J260+K260)*'W5'!K260*'W5'!K$247,0))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IF((B261+C261)&lt;&gt;0,ROUND(#REF!/'W5'!H190*'W5'!B261*'W5'!$B$247+#REF!/'W5'!H190*'W5'!C261*'W5'!$C$247,0),0)</f>
        <v>#REF!</v>
      </c>
      <c r="C314" s="300"/>
      <c r="D314" s="302" t="e">
        <f>ROUND(#REF!/(D261+E261)*'W5'!D261*'W5'!D$247+#REF!/(D261+E261)*'W5'!E261*'W5'!E$247,0)</f>
        <v>#REF!</v>
      </c>
      <c r="E314" s="300"/>
      <c r="F314" s="302" t="e">
        <f>ROUND(#REF!/(F261+G261)*'W5'!F261*'W5'!F$247+#REF!/(F261+G261)*'W5'!G261*'W5'!G$247,0)</f>
        <v>#REF!</v>
      </c>
      <c r="G314" s="300"/>
      <c r="H314" s="302" t="e">
        <f>ROUND(#REF!/(H261+I261)*'W5'!H261*'W5'!H$247+#REF!/(H261+I261)*'W5'!I261*'W5'!I$247,0)</f>
        <v>#REF!</v>
      </c>
      <c r="I314" s="300"/>
      <c r="J314" s="302" t="e">
        <f>IF(J288=0,"",ROUND(#REF!/(J261+K261)*'W5'!J261*'W5'!J$247+#REF!/(J261+K261)*'W5'!K261*'W5'!K$247,0))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IF((B262+C262)&lt;&gt;0,ROUND(#REF!/'W5'!H191*'W5'!B262*'W5'!$B$247+#REF!/'W5'!H191*'W5'!C262*'W5'!$C$247,0),0)</f>
        <v>#REF!</v>
      </c>
      <c r="C315" s="300"/>
      <c r="D315" s="302" t="e">
        <f>ROUND(#REF!/(D262+E262)*'W5'!D262*'W5'!D$247+#REF!/(D262+E262)*'W5'!E262*'W5'!E$247,0)</f>
        <v>#REF!</v>
      </c>
      <c r="E315" s="300"/>
      <c r="F315" s="302" t="e">
        <f>ROUND(#REF!/(F262+G262)*'W5'!F262*'W5'!F$247+#REF!/(F262+G262)*'W5'!G262*'W5'!G$247,0)</f>
        <v>#REF!</v>
      </c>
      <c r="G315" s="300"/>
      <c r="H315" s="302" t="e">
        <f>ROUND(#REF!/(H262+I262)*'W5'!H262*'W5'!H$247+#REF!/(H262+I262)*'W5'!I262*'W5'!I$247,0)</f>
        <v>#REF!</v>
      </c>
      <c r="I315" s="300"/>
      <c r="J315" s="302" t="e">
        <f>IF(J289=0,"",ROUND(#REF!/(J262+K262)*'W5'!J262*'W5'!J$247+#REF!/(J262+K262)*'W5'!K262*'W5'!K$247,0))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IF((B263+C263)&lt;&gt;0,ROUND(#REF!/'W5'!H192*'W5'!B263*'W5'!$B$247+#REF!/'W5'!H192*'W5'!C263*'W5'!$C$247,0),0)</f>
        <v>#REF!</v>
      </c>
      <c r="C316" s="300"/>
      <c r="D316" s="302" t="e">
        <f>ROUND(#REF!/(D263+E263)*'W5'!D263*'W5'!D$247+#REF!/(D263+E263)*'W5'!E263*'W5'!E$247,0)</f>
        <v>#REF!</v>
      </c>
      <c r="E316" s="300"/>
      <c r="F316" s="302" t="e">
        <f>ROUND(#REF!/(F263+G263)*'W5'!F263*'W5'!F$247+#REF!/(F263+G263)*'W5'!G263*'W5'!G$247,0)</f>
        <v>#REF!</v>
      </c>
      <c r="G316" s="300"/>
      <c r="H316" s="302" t="e">
        <f>ROUND(#REF!/(H263+I263)*'W5'!H263*'W5'!H$247+#REF!/(H263+I263)*'W5'!I263*'W5'!I$247,0)</f>
        <v>#REF!</v>
      </c>
      <c r="I316" s="300"/>
      <c r="J316" s="302" t="e">
        <f>IF(J290=0,"",ROUND(#REF!/(J263+K263)*'W5'!J263*'W5'!J$247+#REF!/(J263+K263)*'W5'!K263*'W5'!K$247,0))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IF((B264+C264)&lt;&gt;0,ROUND(#REF!/'W5'!H193*'W5'!B264*'W5'!$B$247+#REF!/'W5'!H193*'W5'!C264*'W5'!$C$247,0),0)</f>
        <v>#REF!</v>
      </c>
      <c r="C317" s="300"/>
      <c r="D317" s="302" t="e">
        <f>ROUND(#REF!/(D264+E264)*'W5'!D264*'W5'!D$247+#REF!/(D264+E264)*'W5'!E264*'W5'!E$247,0)</f>
        <v>#REF!</v>
      </c>
      <c r="E317" s="300"/>
      <c r="F317" s="302" t="e">
        <f>ROUND(#REF!/(F264+G264)*'W5'!F264*'W5'!F$247+#REF!/(F264+G264)*'W5'!G264*'W5'!G$247,0)</f>
        <v>#REF!</v>
      </c>
      <c r="G317" s="300"/>
      <c r="H317" s="302" t="e">
        <f>ROUND(#REF!/(H264+I264)*'W5'!H264*'W5'!H$247+#REF!/(H264+I264)*'W5'!I264*'W5'!I$247,0)</f>
        <v>#REF!</v>
      </c>
      <c r="I317" s="300"/>
      <c r="J317" s="302" t="e">
        <f>IF(J291=0,"",ROUND(#REF!/(J264+K264)*'W5'!J264*'W5'!J$247+#REF!/(J264+K264)*'W5'!K264*'W5'!K$247,0))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IF((B265+C265)&lt;&gt;0,ROUND(#REF!/'W5'!H194*'W5'!B265*'W5'!$B$247+#REF!/'W5'!H194*'W5'!C265*'W5'!$C$247,0),0)</f>
        <v>#REF!</v>
      </c>
      <c r="C318" s="300"/>
      <c r="D318" s="302" t="e">
        <f>ROUND(#REF!/(D265+E265)*'W5'!D265*'W5'!D$247+#REF!/(D265+E265)*'W5'!E265*'W5'!E$247,0)</f>
        <v>#REF!</v>
      </c>
      <c r="E318" s="300"/>
      <c r="F318" s="302" t="e">
        <f>ROUND(#REF!/(F265+G265)*'W5'!F265*'W5'!F$247+#REF!/(F265+G265)*'W5'!G265*'W5'!G$247,0)</f>
        <v>#REF!</v>
      </c>
      <c r="G318" s="300"/>
      <c r="H318" s="302" t="e">
        <f>ROUND(#REF!/(H265+I265)*'W5'!H265*'W5'!H$247+#REF!/(H265+I265)*'W5'!I265*'W5'!I$247,0)</f>
        <v>#REF!</v>
      </c>
      <c r="I318" s="300"/>
      <c r="J318" s="302" t="e">
        <f>IF(J292=0,"",ROUND(#REF!/(J265+K265)*'W5'!J265*'W5'!J$247+#REF!/(J265+K265)*'W5'!K265*'W5'!K$247,0))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IF((B266+C266)&lt;&gt;0,ROUND(#REF!/'W5'!H195*'W5'!B266*'W5'!$B$247+#REF!/'W5'!H195*'W5'!C266*'W5'!$C$247,0),0)</f>
        <v>#REF!</v>
      </c>
      <c r="C319" s="300"/>
      <c r="D319" s="302" t="e">
        <f>ROUND(#REF!/(D266+E266)*'W5'!D266*'W5'!D$247+#REF!/(D266+E266)*'W5'!E266*'W5'!E$247,0)</f>
        <v>#REF!</v>
      </c>
      <c r="E319" s="300"/>
      <c r="F319" s="302" t="e">
        <f>ROUND(#REF!/(F266+G266)*'W5'!F266*'W5'!F$247+#REF!/(F266+G266)*'W5'!G266*'W5'!G$247,0)</f>
        <v>#REF!</v>
      </c>
      <c r="G319" s="300"/>
      <c r="H319" s="302" t="e">
        <f>ROUND(#REF!/(H266+I266)*'W5'!H266*'W5'!H$247+#REF!/(H266+I266)*'W5'!I266*'W5'!I$247,0)</f>
        <v>#REF!</v>
      </c>
      <c r="I319" s="300"/>
      <c r="J319" s="302" t="e">
        <f>IF(J293=0,"",ROUND(#REF!/(J266+K266)*'W5'!J266*'W5'!J$247+#REF!/(J266+K266)*'W5'!K266*'W5'!K$247,0))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IF((B267+C267)&lt;&gt;0,ROUND(#REF!/'W5'!H196*'W5'!B267*'W5'!$B$247+#REF!/'W5'!H196*'W5'!C267*'W5'!$C$247,0),0)</f>
        <v>#REF!</v>
      </c>
      <c r="C320" s="300"/>
      <c r="D320" s="302" t="e">
        <f>ROUND(#REF!/(D267+E267)*'W5'!D267*'W5'!D$247+#REF!/(D267+E267)*'W5'!E267*'W5'!E$247,0)</f>
        <v>#REF!</v>
      </c>
      <c r="E320" s="300"/>
      <c r="F320" s="302" t="e">
        <f>ROUND(#REF!/(F267+G267)*'W5'!F267*'W5'!F$247+#REF!/(F267+G267)*'W5'!G267*'W5'!G$247,0)</f>
        <v>#REF!</v>
      </c>
      <c r="G320" s="300"/>
      <c r="H320" s="302" t="e">
        <f>ROUND(#REF!/(H267+I267)*'W5'!H267*'W5'!H$247+#REF!/(H267+I267)*'W5'!I267*'W5'!I$247,0)</f>
        <v>#REF!</v>
      </c>
      <c r="I320" s="300"/>
      <c r="J320" s="302" t="e">
        <f>IF(J294=0,"",ROUND(#REF!/(J267+K267)*'W5'!J267*'W5'!J$247+#REF!/(J267+K267)*'W5'!K267*'W5'!K$247,0))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IF((B268+C268)&lt;&gt;0,ROUND(#REF!/'W5'!H197*'W5'!B268*'W5'!$B$247+#REF!/'W5'!H197*'W5'!C268*'W5'!$C$247,0),0)</f>
        <v>#REF!</v>
      </c>
      <c r="C321" s="300"/>
      <c r="D321" s="302" t="e">
        <f>ROUND(#REF!/(D268+E268)*'W5'!D268*'W5'!D$247+#REF!/(D268+E268)*'W5'!E268*'W5'!E$247,0)</f>
        <v>#REF!</v>
      </c>
      <c r="E321" s="300"/>
      <c r="F321" s="302" t="e">
        <f>ROUND(#REF!/(F268+G268)*'W5'!F268*'W5'!F$247+#REF!/(F268+G268)*'W5'!G268*'W5'!G$247,0)</f>
        <v>#REF!</v>
      </c>
      <c r="G321" s="300"/>
      <c r="H321" s="302" t="e">
        <f>ROUND(#REF!/(H268+I268)*'W5'!H268*'W5'!H$247+#REF!/(H268+I268)*'W5'!I268*'W5'!I$247,0)</f>
        <v>#REF!</v>
      </c>
      <c r="I321" s="300"/>
      <c r="J321" s="302" t="e">
        <f>IF(J295=0,"",ROUND(#REF!/(J268+K268)*'W5'!J268*'W5'!J$247+#REF!/(J268+K268)*'W5'!K268*'W5'!K$247,0))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IF((B269+C269)&lt;&gt;0,ROUND(#REF!/'W5'!H198*'W5'!B269*'W5'!$B$247+#REF!/'W5'!H198*'W5'!C269*'W5'!$C$247,0),0)</f>
        <v>#REF!</v>
      </c>
      <c r="C322" s="300"/>
      <c r="D322" s="302" t="e">
        <f>ROUND(#REF!/(D269+E269)*'W5'!D269*'W5'!D$247+#REF!/(D269+E269)*'W5'!E269*'W5'!E$247,0)</f>
        <v>#REF!</v>
      </c>
      <c r="E322" s="300"/>
      <c r="F322" s="302" t="e">
        <f>ROUND(#REF!/(F269+G269)*'W5'!F269*'W5'!F$247+#REF!/(F269+G269)*'W5'!G269*'W5'!G$247,0)</f>
        <v>#REF!</v>
      </c>
      <c r="G322" s="300"/>
      <c r="H322" s="302" t="e">
        <f>ROUND(#REF!/(H269+I269)*'W5'!H269*'W5'!H$247+#REF!/(H269+I269)*'W5'!I269*'W5'!I$247,0)</f>
        <v>#REF!</v>
      </c>
      <c r="I322" s="300"/>
      <c r="J322" s="302" t="e">
        <f>IF(J296=0,"",ROUND(#REF!/(J269+K269)*'W5'!J269*'W5'!J$247+#REF!/(J269+K269)*'W5'!K269*'W5'!K$247,0))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IF((B270+C270)&lt;&gt;0,ROUND(#REF!/'W5'!H199*'W5'!B270*'W5'!$B$247+#REF!/'W5'!H199*'W5'!C270*'W5'!$C$247,0),0)</f>
        <v>#REF!</v>
      </c>
      <c r="C323" s="300"/>
      <c r="D323" s="302" t="e">
        <f>ROUND(#REF!/(D270+E270)*'W5'!D270*'W5'!D$247+#REF!/(D270+E270)*'W5'!E270*'W5'!E$247,0)</f>
        <v>#REF!</v>
      </c>
      <c r="E323" s="300"/>
      <c r="F323" s="302" t="e">
        <f>ROUND(#REF!/(F270+G270)*'W5'!F270*'W5'!F$247+#REF!/(F270+G270)*'W5'!G270*'W5'!G$247,0)</f>
        <v>#REF!</v>
      </c>
      <c r="G323" s="300"/>
      <c r="H323" s="302" t="e">
        <f>ROUND(#REF!/(H270+I270)*'W5'!H270*'W5'!H$247+#REF!/(H270+I270)*'W5'!I270*'W5'!I$247,0)</f>
        <v>#REF!</v>
      </c>
      <c r="I323" s="300"/>
      <c r="J323" s="302" t="e">
        <f>IF(J297=0,"",ROUND(#REF!/(J270+K270)*'W5'!J270*'W5'!J$247+#REF!/(J270+K270)*'W5'!K270*'W5'!K$247,0))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IF((B271+C271)&lt;&gt;0,ROUND(#REF!/'W5'!H200*'W5'!B271*'W5'!$B$247+#REF!/'W5'!H200*'W5'!C271*'W5'!$C$247,0),0)</f>
        <v>#REF!</v>
      </c>
      <c r="C324" s="300"/>
      <c r="D324" s="302" t="e">
        <f>ROUND(#REF!/(D271+E271)*'W5'!D271*'W5'!D$247+#REF!/(D271+E271)*'W5'!E271*'W5'!E$247,0)</f>
        <v>#REF!</v>
      </c>
      <c r="E324" s="300"/>
      <c r="F324" s="302" t="e">
        <f>ROUND(#REF!/(F271+G271)*'W5'!F271*'W5'!F$247+#REF!/(F271+G271)*'W5'!G271*'W5'!G$247,0)</f>
        <v>#REF!</v>
      </c>
      <c r="G324" s="300"/>
      <c r="H324" s="302" t="e">
        <f>ROUND(#REF!/(H271+I271)*'W5'!H271*'W5'!H$247+#REF!/(H271+I271)*'W5'!I271*'W5'!I$247,0)</f>
        <v>#REF!</v>
      </c>
      <c r="I324" s="300"/>
      <c r="J324" s="302" t="e">
        <f>IF(J298=0,"",ROUND(#REF!/(J271+K271)*'W5'!J271*'W5'!J$247+#REF!/(J271+K271)*'W5'!K271*'W5'!K$247,0))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28" s="300"/>
      <c r="D328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28" s="300"/>
      <c r="F328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28" s="300"/>
      <c r="H328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28" s="300"/>
      <c r="J328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29" s="300"/>
      <c r="D329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29" s="300"/>
      <c r="F329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29" s="300"/>
      <c r="H329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29" s="300"/>
      <c r="J329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0" s="300"/>
      <c r="D330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0" s="300"/>
      <c r="F330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0" s="300"/>
      <c r="H330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0" s="300"/>
      <c r="J330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1" s="300"/>
      <c r="D331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1" s="300"/>
      <c r="F331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1" s="300"/>
      <c r="H331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1" s="300"/>
      <c r="J331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2" s="300"/>
      <c r="D332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2" s="300"/>
      <c r="F332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2" s="300"/>
      <c r="H332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2" s="300"/>
      <c r="J332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3" s="300"/>
      <c r="D333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3" s="300"/>
      <c r="F333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3" s="300"/>
      <c r="H333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3" s="300"/>
      <c r="J333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4" s="300"/>
      <c r="D334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4" s="300"/>
      <c r="F334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4" s="300"/>
      <c r="H334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4" s="300"/>
      <c r="J334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5" s="300"/>
      <c r="D335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5" s="300"/>
      <c r="F335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5" s="300"/>
      <c r="H335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5" s="300"/>
      <c r="J335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6" s="300"/>
      <c r="D336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6" s="300"/>
      <c r="F336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6" s="300"/>
      <c r="H336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6" s="300"/>
      <c r="J336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7" s="300"/>
      <c r="D337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7" s="300"/>
      <c r="F337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7" s="300"/>
      <c r="H337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7" s="300"/>
      <c r="J337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8" s="300"/>
      <c r="D338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8" s="300"/>
      <c r="F338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8" s="300"/>
      <c r="H338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8" s="300"/>
      <c r="J338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39" s="300"/>
      <c r="D339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39" s="300"/>
      <c r="F339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39" s="300"/>
      <c r="H339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39" s="300"/>
      <c r="J339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0" s="300"/>
      <c r="D340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0" s="300"/>
      <c r="F340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0" s="300"/>
      <c r="H340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0" s="300"/>
      <c r="J340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1" s="300"/>
      <c r="D341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1" s="300"/>
      <c r="F341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1" s="300"/>
      <c r="H341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1" s="300"/>
      <c r="J341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2" s="300"/>
      <c r="D342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2" s="300"/>
      <c r="F342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2" s="300"/>
      <c r="H342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2" s="300"/>
      <c r="J342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3" s="300"/>
      <c r="D343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3" s="300"/>
      <c r="F343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3" s="300"/>
      <c r="H343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3" s="300"/>
      <c r="J343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4" s="300"/>
      <c r="D344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4" s="300"/>
      <c r="F344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4" s="300"/>
      <c r="H344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4" s="300"/>
      <c r="J344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5" s="300"/>
      <c r="D345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5" s="300"/>
      <c r="F345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5" s="300"/>
      <c r="H345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5" s="300"/>
      <c r="J345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6" s="300"/>
      <c r="D346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6" s="300"/>
      <c r="F346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6" s="300"/>
      <c r="H346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6" s="300"/>
      <c r="J346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7" s="300"/>
      <c r="D347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7" s="300"/>
      <c r="F347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7" s="300"/>
      <c r="H347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7" s="300"/>
      <c r="J347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8" s="300"/>
      <c r="D348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8" s="300"/>
      <c r="F348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8" s="300"/>
      <c r="H348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8" s="300"/>
      <c r="J348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49" s="300"/>
      <c r="D349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49" s="300"/>
      <c r="F349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49" s="300"/>
      <c r="H349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49" s="300"/>
      <c r="J349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50" s="300"/>
      <c r="D350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50" s="300"/>
      <c r="F350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50" s="300"/>
      <c r="H350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50" s="300"/>
      <c r="J350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5'!$C$5=0,"",IF(AND(#REF!="Multi",#REF!="FY"),ROUND(((1+#REF!)^'W5'!$B$20*'W5'!$C$9+(1+#REF!)^('W5'!$B$20+1)*'W5'!$C$10)/('W5'!$C$5)*#REF!,0),(IF(AND(#REF!="Multi",#REF!="PY"),ROUND(#REF!/('W5'!$C$5)*'W5'!$C$5,0),(IF(AND(#REF!&lt;&gt;"Multi",#REF!="FY"),ROUND(((1+#REF!)^'W5'!$B$20*'W5'!$C$9+(1+#REF!)^('W5'!$B$20+1)*'W5'!$C$10)/'W5'!$C$5*#REF!,0),ROUND(#REF!/'W5'!$C$5*'W5'!$C$5,0)))))))</f>
        <v>#REF!</v>
      </c>
      <c r="C351" s="300"/>
      <c r="D351" s="302" t="e">
        <f>IF('W5'!$D$5=0,"",IF($C$4=$D$4,(IF(AND(#REF!="Multi",#REF!="FY"),ROUND(((1+#REF!)^('W5'!$B$20)*'W5'!$D$9+(1+#REF!)^('W5'!$B$20+1)*'W5'!$D$10)/'W5'!$D$5*#REF!,0),(IF(AND(#REF!="Multi",#REF!="PY"),ROUND(#REF!*(1+#REF!)/'W5'!$D$5*'W5'!$D$5,0),(IF(AND(#REF!&lt;&gt;"Multi",#REF!="FY"),ROUND(((1+#REF!)^('W5'!$B$20)*'W5'!$D$9+(1+#REF!)^('W5'!$B$20+1)*'W5'!$D$10)/'W5'!$D$5*#REF!,0),ROUND(#REF!*(1+#REF!)/'W5'!$D$5*'W5'!$D$5,0))))))),(IF(AND(#REF!="Multi",#REF!="FY"),ROUND(((1+#REF!)^('W5'!$B$20+1)*'W5'!$D$9+(1+#REF!)^('W5'!$B$20+2)*'W5'!$D$10)/'W5'!$D$5*#REF!,0),(IF(AND(#REF!="Multi",#REF!="PY"),ROUND(#REF!*(1+#REF!)/'W5'!$D$5*'W5'!$D$5,0),(IF(AND(#REF!&lt;&gt;"Multi",#REF!="FY"),ROUND(((1+#REF!)^('W5'!$B$20+1)*'W5'!$D$9+(1+#REF!)^('W5'!$B$20+2)*'W5'!$D$10)/'W5'!$D$5*#REF!,0),ROUND(#REF!*(1+#REF!)/'W5'!$D$5*'W5'!$D$5,0)))))))))</f>
        <v>#REF!</v>
      </c>
      <c r="E351" s="300"/>
      <c r="F351" s="302" t="e">
        <f>IF('W5'!$E$5=0,"",IF($C$4=$D$4,(IF(AND(#REF!="Multi",#REF!="FY"),ROUND(((1+#REF!)^('W5'!$B$20+1)*'W5'!$E$9+(1+#REF!)^('W5'!$B$20+3)*'W5'!$E$10)/'W5'!$E$5*#REF!,0),(IF(AND(#REF!="Multi",#REF!="PY"),ROUND(#REF!*((1+#REF!)^2)/'W5'!$E$5*'W5'!$E$5,0),(IF(AND(#REF!&lt;&gt;"Multi",#REF!="FY"),ROUND(((1+#REF!)^('W5'!$B$20+1)*'W5'!$E$9+(1+#REF!)^('W5'!$B$20+2)*'W5'!$E$10)/'W5'!$E$5*#REF!,0),ROUND(#REF!*((1+#REF!)^2)/'W5'!$E$5*'W5'!$E$5,0))))))),(IF(AND(#REF!="Multi",#REF!="FY"),ROUND(((1+#REF!)^('W5'!$B$20+2)*'W5'!$E$9+(1+#REF!)^('W5'!$B$20+3)*'W5'!$E$10)/'W5'!$E$5*#REF!,0),(IF(AND(#REF!="Multi",#REF!="PY"),ROUND(#REF!*((1+#REF!)^2)/'W5'!$E$5*'W5'!$E$5,0),(IF(AND(#REF!&lt;&gt;"Multi",#REF!="FY"),ROUND(((1+#REF!)^('W5'!$B$20+2)*'W5'!$E$9+(1+#REF!)^('W5'!$B$20+3)*'W5'!$E$10)/'W5'!$E$5*#REF!,0),ROUND(#REF!*((1+#REF!)^2)/'W5'!$E$5*'W5'!$E$5,0)))))))))</f>
        <v>#REF!</v>
      </c>
      <c r="G351" s="300"/>
      <c r="H351" s="302" t="e">
        <f>IF('W5'!$F$5=0,"",IF($C$4=$D$4,(IF(AND(#REF!="Multi",#REF!="FY"),ROUND(((1+#REF!)^('W5'!$B$20+2)*'W5'!$F$9+(1+#REF!)^('W5'!$B$20+3)*'W5'!$F$10)/'W5'!$F$5*#REF!,0),(IF(AND(#REF!="Multi",#REF!="PY"),ROUND(#REF!*((1+#REF!)^3)/'W5'!$F$5*'W5'!$F$5,0),(IF(AND(#REF!&lt;&gt;"Multi",#REF!="FY"),ROUND(((1+#REF!)^('W5'!$B$20+2)*'W5'!$F$9+(1+#REF!)^('W5'!$B$20+3)*'W5'!$F$10)/'W5'!$F$5*#REF!,0),ROUND(#REF!*((1+#REF!)^3)/'W5'!$F$5*'W5'!$F$5,0))))))),(IF(AND(#REF!="Multi",#REF!="FY"),ROUND(((1+#REF!)^('W5'!$B$20+3)*'W5'!$F$9+(1+#REF!)^('W5'!$B$20+4)*'W5'!$F$10)/'W5'!$F$5*#REF!,0),(IF(AND(#REF!="Multi",#REF!="PY"),ROUND(#REF!*((1+#REF!)^3)/'W5'!$F$5*'W5'!$F$5,0),(IF(AND(#REF!&lt;&gt;"Multi",#REF!="FY"),ROUND(((1+#REF!)^('W5'!$B$20+3)*'W5'!$F$9+(1+#REF!)^('W5'!$B$20+4)*'W5'!$F$10)/'W5'!$F$5*#REF!,0),ROUND(#REF!*((1+#REF!)^3)/'W5'!$F$5*'W5'!$F$5,0)))))))))</f>
        <v>#REF!</v>
      </c>
      <c r="I351" s="300"/>
      <c r="J351" s="302" t="e">
        <f>IF('W5'!$G$5=0,"",IF($C$4=$D$4,(IF(AND(#REF!="Multi",#REF!="FY"),ROUND(((1+#REF!)^('W5'!$B$20+3)*'W5'!$G$9+(1+#REF!)^('W5'!$B$20+4)*'W5'!$G$10)/'W5'!$G$5*#REF!,0),(IF(AND(#REF!="Multi",#REF!="PY"),ROUND(#REF!*((1+#REF!)^4)/'W5'!$G$5*'W5'!$G$5,0),(IF(AND(#REF!&lt;&gt;"Multi",#REF!="FY"),ROUND(((1+#REF!)^('W5'!$B$20+3)*'W5'!$G$9+(1+#REF!)^('W5'!$B$20+4)*'W5'!$G$10)/'W5'!$G$5*#REF!,0),ROUND(#REF!*((1+#REF!)^4)/'W5'!$G$5*'W5'!$G$5,0))))))),(IF(AND(#REF!="Multi",#REF!="FY"),ROUND(((1+#REF!)^('W5'!$B$20+4)*'W5'!$G$9+(1+#REF!)^('W5'!$B$20+5)*'W5'!$G$10)/'W5'!$G$5*#REF!,0),(IF(AND(#REF!="Multi",#REF!="PY"),ROUND(#REF!*((1+#REF!)^4)/'W5'!$G$5*'W5'!$G$5,0),(IF(AND(#REF!&lt;&gt;"Multi",#REF!="FY"),ROUND(((1+#REF!)^('W5'!$B$20+4)*'W5'!$G$9+(1+#REF!)^('W5'!$B$20+5)*'W5'!$G$10)/'W5'!$G$5*#REF!,0),ROUND(#REF!*((1+#REF!)^4)/'W5'!$G$5*'W5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81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8" workbookViewId="0">
      <selection activeCell="F35" sqref="F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IF(#REF!='W6'!A86,'W6'!B86,IF(#REF!='W6'!A87,'W6'!B87,IF(#REF!='W6'!A88,'W6'!B88,IF(#REF!='W6'!A89,'W6'!B89,IF(#REF!='W6'!A90,'W6'!B90,IF(#REF!='W6'!A91,'W6'!B91))))))</f>
        <v>#REF!</v>
      </c>
      <c r="C97" s="37" t="e">
        <f>IF(#REF!='W6'!A86,'W6'!C86,IF(#REF!='W6'!A87,'W6'!C87,IF(#REF!='W6'!A88,'W6'!C88,IF(#REF!='W6'!A89,'W6'!C89,IF(#REF!='W6'!A90,'W6'!C90,IF(#REF!='W6'!A91,'W6'!C91))))))</f>
        <v>#REF!</v>
      </c>
      <c r="D97" s="37" t="e">
        <f>IF(#REF!='W6'!$A$86,'W6'!D86,IF(#REF!='W6'!$A$87,'W6'!D87,IF(#REF!='W6'!$A$88,'W6'!D88,IF(#REF!='W6'!$A$89,'W6'!D89,IF(#REF!='W6'!$A$90,'W6'!D90,IF(#REF!='W6'!$A$91,'W6'!D91))))))</f>
        <v>#REF!</v>
      </c>
      <c r="E97" s="37" t="e">
        <f>IF(#REF!='W6'!$A$86,'W6'!E86,IF(#REF!='W6'!$A$87,'W6'!E87,IF(#REF!='W6'!$A$88,'W6'!E88,IF(#REF!='W6'!$A$89,'W6'!E89,IF(#REF!='W6'!$A$90,'W6'!E90,IF(#REF!='W6'!$A$91,'W6'!E91))))))</f>
        <v>#REF!</v>
      </c>
      <c r="F97" s="37" t="e">
        <f>IF(#REF!='W6'!$A$86,'W6'!F86,IF(#REF!='W6'!$A$87,'W6'!F87,IF(#REF!='W6'!$A$88,'W6'!F88,IF(#REF!='W6'!$A$89,'W6'!F89,IF(#REF!='W6'!$A$90,'W6'!F90,IF(#REF!='W6'!$A$91,'W6'!F91))))))</f>
        <v>#REF!</v>
      </c>
      <c r="G97" s="37" t="e">
        <f>IF(#REF!='W6'!$A$86,'W6'!G86,IF(#REF!='W6'!$A$87,'W6'!G87,IF(#REF!='W6'!$A$88,'W6'!G88,IF(#REF!='W6'!$A$89,'W6'!G89,IF(#REF!='W6'!$A$90,'W6'!G90,IF(#REF!='W6'!$A$91,'W6'!G91))))))</f>
        <v>#REF!</v>
      </c>
      <c r="H97" s="37" t="e">
        <f>IF(#REF!='W6'!$A$86,'W6'!H86,IF(#REF!='W6'!$A$87,'W6'!H87,IF(#REF!='W6'!$A$88,'W6'!H88,IF(#REF!='W6'!$A$89,'W6'!H89,IF(#REF!='W6'!$A$90,'W6'!H90,IF(#REF!='W6'!$A$91,'W6'!H91))))))</f>
        <v>#REF!</v>
      </c>
      <c r="I97" s="37" t="e">
        <f>IF(#REF!='W6'!$A$86,'W6'!I86,IF(#REF!='W6'!$A$87,'W6'!I87,IF(#REF!='W6'!$A$88,'W6'!I88,IF(#REF!='W6'!$A$89,'W6'!I89,IF(#REF!='W6'!$A$90,'W6'!I90,IF(#REF!='W6'!$A$91,'W6'!I91))))))</f>
        <v>#REF!</v>
      </c>
      <c r="J97" s="37" t="e">
        <f>IF(#REF!='W6'!$A$86,'W6'!J86,IF(#REF!='W6'!$A$87,'W6'!J87,IF(#REF!='W6'!$A$88,'W6'!J88,IF(#REF!='W6'!$A$89,'W6'!J89,IF(#REF!='W6'!$A$90,'W6'!J90,IF(#REF!='W6'!$A$91,'W6'!J91))))))</f>
        <v>#REF!</v>
      </c>
      <c r="K97" s="37" t="e">
        <f>IF(#REF!='W6'!$A$86,'W6'!K86,IF(#REF!='W6'!$A$87,'W6'!K87,IF(#REF!='W6'!$A$88,'W6'!K88,IF(#REF!='W6'!$A$89,'W6'!K89,IF(#REF!='W6'!$A$90,'W6'!K90,IF(#REF!='W6'!$A$91,'W6'!K91))))))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#REF!+#REF!+#REF!+#REF!+SUM(#REF!)+SUM(#REF!)+'W6'!C136</f>
        <v>#REF!</v>
      </c>
      <c r="D157" s="41" t="e">
        <f>IF(D4="",0,(#REF!+#REF!+#REF!+#REF!+SUM(#REF!)+SUM(#REF!)+'W6'!D136))</f>
        <v>#REF!</v>
      </c>
      <c r="E157" s="41" t="e">
        <f>IF(E4="",0,(#REF!+#REF!+#REF!+#REF!+SUM(#REF!)+SUM(#REF!)+'W6'!E136))</f>
        <v>#REF!</v>
      </c>
      <c r="F157" s="41" t="e">
        <f>IF(F4="",0,(#REF!+#REF!+#REF!+#REF!+SUM(#REF!)+SUM(#REF!)+'W6'!F136))</f>
        <v>#REF!</v>
      </c>
      <c r="G157" s="41" t="e">
        <f>IF(G4="",0,(#REF!+#REF!+#REF!+#REF!+SUM(#REF!)+SUM(#REF!)+'W6'!G136))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#REF!-#REF!+'W6'!C154</f>
        <v>#REF!</v>
      </c>
      <c r="D158" s="42" t="e">
        <f>IF(D4="",0,(#REF!-#REF!+'W6'!D154))</f>
        <v>#REF!</v>
      </c>
      <c r="E158" s="42" t="e">
        <f>IF(E4="",0,(#REF!-#REF!+'W6'!E154))</f>
        <v>#REF!</v>
      </c>
      <c r="F158" s="42" t="e">
        <f>IF(F4="",0,(#REF!-#REF!+'W6'!F154))</f>
        <v>#REF!</v>
      </c>
      <c r="G158" s="42" t="e">
        <f>IF(G4="",0,(#REF!-#REF!+'W6'!G154))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ROUND((#REF!-#REF!+'W6'!C154)/(1-#REF!),0)</f>
        <v>#REF!</v>
      </c>
      <c r="D159" s="41" t="e">
        <f>IF(D4="",0,(ROUND((#REF!-#REF!+'W6'!D154)/(1-#REF!),0)))</f>
        <v>#REF!</v>
      </c>
      <c r="E159" s="41" t="e">
        <f>IF(E4="",0,(ROUND((#REF!-#REF!+'W6'!E154)/(1-#REF!),0)))</f>
        <v>#REF!</v>
      </c>
      <c r="F159" s="41" t="e">
        <f>IF(F4="",0,(ROUND((#REF!-#REF!+'W6'!F154)/(1-#REF!),0)))</f>
        <v>#REF!</v>
      </c>
      <c r="G159" s="41" t="e">
        <f>IF(G4="",0,(ROUND((#REF!-#REF!+'W6'!G154)/(1-#REF!),0)))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IF(C$5=0,0,IF(#REF!="AY",(E162*C$27+F162*C$28)/C$29,'W6'!E162))</f>
        <v>#REF!</v>
      </c>
      <c r="L162" s="112" t="e">
        <f>IF(D$5=0,0,IF(#REF!="AY",(F162*D$27+G162*D$28)/D$29,'W6'!F162))</f>
        <v>#REF!</v>
      </c>
      <c r="M162" s="112" t="e">
        <f>IF(E$5=0,0,IF(#REF!="AY",(G162*E$27+H162*E$28)/E$29,'W6'!G162))</f>
        <v>#REF!</v>
      </c>
      <c r="N162" s="112" t="e">
        <f>IF(F$5=0,0,IF(#REF!="AY",(H162*F$27+I162*F$28)/F$29,'W6'!H162))</f>
        <v>#REF!</v>
      </c>
      <c r="O162" s="112" t="e">
        <f>IF(G$5=0,0,IF(#REF!="AY",(I162*G$27+J162*G$28)/G$29,'W6'!I162))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IF(C$5=0,0,IF(#REF!="AY",(E163*C$27+F163*C$28)/C$29,'W6'!E163))</f>
        <v>#REF!</v>
      </c>
      <c r="L163" s="112" t="e">
        <f>IF(D$5=0,0,IF(#REF!="AY",(F163*D$27+G163*D$28)/D$29,'W6'!F163))</f>
        <v>#REF!</v>
      </c>
      <c r="M163" s="112" t="e">
        <f>IF(E$5=0,0,IF(#REF!="AY",(G163*E$27+H163*E$28)/E$29,'W6'!G163))</f>
        <v>#REF!</v>
      </c>
      <c r="N163" s="112" t="e">
        <f>IF(F$5=0,0,IF(#REF!="AY",(H163*F$27+I163*F$28)/F$29,'W6'!H163))</f>
        <v>#REF!</v>
      </c>
      <c r="O163" s="112" t="e">
        <f>IF(G$5=0,0,IF(#REF!="AY",(I163*G$27+J163*G$28)/G$29,'W6'!I163))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IF(C$5=0,0,IF(#REF!="AY",(E164*C$27+F164*C$28)/C$29,'W6'!E164))</f>
        <v>#REF!</v>
      </c>
      <c r="L164" s="112" t="e">
        <f>IF(D$5=0,0,IF(#REF!="AY",(F164*D$27+G164*D$28)/D$29,'W6'!F164))</f>
        <v>#REF!</v>
      </c>
      <c r="M164" s="112" t="e">
        <f>IF(E$5=0,0,IF(#REF!="AY",(G164*E$27+H164*E$28)/E$29,'W6'!G164))</f>
        <v>#REF!</v>
      </c>
      <c r="N164" s="112" t="e">
        <f>IF(F$5=0,0,IF(#REF!="AY",(H164*F$27+I164*F$28)/F$29,'W6'!H164))</f>
        <v>#REF!</v>
      </c>
      <c r="O164" s="112" t="e">
        <f>IF(G$5=0,0,IF(#REF!="AY",(I164*G$27+J164*G$28)/G$29,'W6'!I164))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IF(C$5=0,0,IF(#REF!="AY",(E165*C$27+F165*C$28)/C$29,'W6'!E165))</f>
        <v>#REF!</v>
      </c>
      <c r="L165" s="112" t="e">
        <f>IF(D$5=0,0,IF(#REF!="AY",(F165*D$27+G165*D$28)/D$29,'W6'!F165))</f>
        <v>#REF!</v>
      </c>
      <c r="M165" s="112" t="e">
        <f>IF(E$5=0,0,IF(#REF!="AY",(G165*E$27+H165*E$28)/E$29,'W6'!G165))</f>
        <v>#REF!</v>
      </c>
      <c r="N165" s="112" t="e">
        <f>IF(F$5=0,0,IF(#REF!="AY",(H165*F$27+I165*F$28)/F$29,'W6'!H165))</f>
        <v>#REF!</v>
      </c>
      <c r="O165" s="112" t="e">
        <f>IF(G$5=0,0,IF(#REF!="AY",(I165*G$27+J165*G$28)/G$29,'W6'!I165))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IF(C$5=0,0,IF(#REF!="AY",(E166*C$27+F166*C$28)/C$29,'W6'!E166))</f>
        <v>#REF!</v>
      </c>
      <c r="L166" s="112" t="e">
        <f>IF(D$5=0,0,IF(#REF!="AY",(F166*D$27+G166*D$28)/D$29,'W6'!F166))</f>
        <v>#REF!</v>
      </c>
      <c r="M166" s="112" t="e">
        <f>IF(E$5=0,0,IF(#REF!="AY",(G166*E$27+H166*E$28)/E$29,'W6'!G166))</f>
        <v>#REF!</v>
      </c>
      <c r="N166" s="112" t="e">
        <f>IF(F$5=0,0,IF(#REF!="AY",(H166*F$27+I166*F$28)/F$29,'W6'!H166))</f>
        <v>#REF!</v>
      </c>
      <c r="O166" s="112" t="e">
        <f>IF(G$5=0,0,IF(#REF!="AY",(I166*G$27+J166*G$28)/G$29,'W6'!I166))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IF(C$5=0,0,IF(#REF!="AY",(E167*C$27+F167*C$28)/C$29,'W6'!E167))</f>
        <v>#REF!</v>
      </c>
      <c r="L167" s="112" t="e">
        <f>IF(D$5=0,0,IF(#REF!="AY",(F167*D$27+G167*D$28)/D$29,'W6'!F167))</f>
        <v>#REF!</v>
      </c>
      <c r="M167" s="112" t="e">
        <f>IF(E$5=0,0,IF(#REF!="AY",(G167*E$27+H167*E$28)/E$29,'W6'!G167))</f>
        <v>#REF!</v>
      </c>
      <c r="N167" s="112" t="e">
        <f>IF(F$5=0,0,IF(#REF!="AY",(H167*F$27+I167*F$28)/F$29,'W6'!H167))</f>
        <v>#REF!</v>
      </c>
      <c r="O167" s="112" t="e">
        <f>IF(G$5=0,0,IF(#REF!="AY",(I167*G$27+J167*G$28)/G$29,'W6'!I167))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IF(C$5=0,0,IF(#REF!="AY",(E168*C$27+F168*C$28)/C$29,'W6'!E168))</f>
        <v>#REF!</v>
      </c>
      <c r="L168" s="112" t="e">
        <f>IF(D$5=0,0,IF(#REF!="AY",(F168*D$27+G168*D$28)/D$29,'W6'!F168))</f>
        <v>#REF!</v>
      </c>
      <c r="M168" s="112" t="e">
        <f>IF(E$5=0,0,IF(#REF!="AY",(G168*E$27+H168*E$28)/E$29,'W6'!G168))</f>
        <v>#REF!</v>
      </c>
      <c r="N168" s="112" t="e">
        <f>IF(F$5=0,0,IF(#REF!="AY",(H168*F$27+I168*F$28)/F$29,'W6'!H168))</f>
        <v>#REF!</v>
      </c>
      <c r="O168" s="112" t="e">
        <f>IF(G$5=0,0,IF(#REF!="AY",(I168*G$27+J168*G$28)/G$29,'W6'!I168))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IF(C$5=0,0,IF(#REF!="AY",(E169*C$27+F169*C$28)/C$29,'W6'!E169))</f>
        <v>#REF!</v>
      </c>
      <c r="L169" s="112" t="e">
        <f>IF(D$5=0,0,IF(#REF!="AY",(F169*D$27+G169*D$28)/D$29,'W6'!F169))</f>
        <v>#REF!</v>
      </c>
      <c r="M169" s="112" t="e">
        <f>IF(E$5=0,0,IF(#REF!="AY",(G169*E$27+H169*E$28)/E$29,'W6'!G169))</f>
        <v>#REF!</v>
      </c>
      <c r="N169" s="112" t="e">
        <f>IF(F$5=0,0,IF(#REF!="AY",(H169*F$27+I169*F$28)/F$29,'W6'!H169))</f>
        <v>#REF!</v>
      </c>
      <c r="O169" s="112" t="e">
        <f>IF(G$5=0,0,IF(#REF!="AY",(I169*G$27+J169*G$28)/G$29,'W6'!I169))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IF(C$5=0,0,IF(#REF!="AY",(E170*C$27+F170*C$28)/C$29,'W6'!E170))</f>
        <v>#REF!</v>
      </c>
      <c r="L170" s="112" t="e">
        <f>IF(D$5=0,0,IF(#REF!="AY",(F170*D$27+G170*D$28)/D$29,'W6'!F170))</f>
        <v>#REF!</v>
      </c>
      <c r="M170" s="112" t="e">
        <f>IF(E$5=0,0,IF(#REF!="AY",(G170*E$27+H170*E$28)/E$29,'W6'!G170))</f>
        <v>#REF!</v>
      </c>
      <c r="N170" s="112" t="e">
        <f>IF(F$5=0,0,IF(#REF!="AY",(H170*F$27+I170*F$28)/F$29,'W6'!H170))</f>
        <v>#REF!</v>
      </c>
      <c r="O170" s="112" t="e">
        <f>IF(G$5=0,0,IF(#REF!="AY",(I170*G$27+J170*G$28)/G$29,'W6'!I170))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IF(C$5=0,0,IF(#REF!="AY",(E171*C$27+F171*C$28)/C$29,'W6'!E171))</f>
        <v>#REF!</v>
      </c>
      <c r="L171" s="112" t="e">
        <f>IF(D$5=0,0,IF(#REF!="AY",(F171*D$27+G171*D$28)/D$29,'W6'!F171))</f>
        <v>#REF!</v>
      </c>
      <c r="M171" s="112" t="e">
        <f>IF(E$5=0,0,IF(#REF!="AY",(G171*E$27+H171*E$28)/E$29,'W6'!G171))</f>
        <v>#REF!</v>
      </c>
      <c r="N171" s="112" t="e">
        <f>IF(F$5=0,0,IF(#REF!="AY",(H171*F$27+I171*F$28)/F$29,'W6'!H171))</f>
        <v>#REF!</v>
      </c>
      <c r="O171" s="112" t="e">
        <f>IF(G$5=0,0,IF(#REF!="AY",(I171*G$27+J171*G$28)/G$29,'W6'!I171))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IF(C$5=0,0,IF(#REF!="AY",(E172*C$27+F172*C$28)/C$29,'W6'!E172))</f>
        <v>#REF!</v>
      </c>
      <c r="L172" s="112" t="e">
        <f>IF(D$5=0,0,IF(#REF!="AY",(F172*D$27+G172*D$28)/D$29,'W6'!F172))</f>
        <v>#REF!</v>
      </c>
      <c r="M172" s="112" t="e">
        <f>IF(E$5=0,0,IF(#REF!="AY",(G172*E$27+H172*E$28)/E$29,'W6'!G172))</f>
        <v>#REF!</v>
      </c>
      <c r="N172" s="112" t="e">
        <f>IF(F$5=0,0,IF(#REF!="AY",(H172*F$27+I172*F$28)/F$29,'W6'!H172))</f>
        <v>#REF!</v>
      </c>
      <c r="O172" s="112" t="e">
        <f>IF(G$5=0,0,IF(#REF!="AY",(I172*G$27+J172*G$28)/G$29,'W6'!I172))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IF(C$5=0,0,IF(#REF!="AY",(E173*C$27+F173*C$28)/C$29,'W6'!E173))</f>
        <v>#REF!</v>
      </c>
      <c r="L173" s="112" t="e">
        <f>IF(D$5=0,0,IF(#REF!="AY",(F173*D$27+G173*D$28)/D$29,'W6'!F173))</f>
        <v>#REF!</v>
      </c>
      <c r="M173" s="112" t="e">
        <f>IF(E$5=0,0,IF(#REF!="AY",(G173*E$27+H173*E$28)/E$29,'W6'!G173))</f>
        <v>#REF!</v>
      </c>
      <c r="N173" s="112" t="e">
        <f>IF(F$5=0,0,IF(#REF!="AY",(H173*F$27+I173*F$28)/F$29,'W6'!H173))</f>
        <v>#REF!</v>
      </c>
      <c r="O173" s="112" t="e">
        <f>IF(G$5=0,0,IF(#REF!="AY",(I173*G$27+J173*G$28)/G$29,'W6'!I173))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IF(#REF!="No",(#REF!*B177/12*#REF!),(#REF!*'W6'!B177))</f>
        <v>#REF!</v>
      </c>
      <c r="I177" s="70" t="e">
        <f>IF(#REF!="No",(#REF!*C177/12*#REF!),(#REF!*'W6'!C177))</f>
        <v>#REF!</v>
      </c>
      <c r="J177" s="70" t="e">
        <f>IF(#REF!="No",(#REF!*D177/12*#REF!),(#REF!*'W6'!D177))</f>
        <v>#REF!</v>
      </c>
      <c r="K177" s="70" t="e">
        <f>IF(#REF!="No",(#REF!*E177/12*#REF!),(#REF!*'W6'!E177))</f>
        <v>#REF!</v>
      </c>
      <c r="L177" s="70" t="e">
        <f>IF(#REF!="No",(#REF!*F177/12*#REF!),(#REF!*'W6'!F177))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IF(#REF!="No",(#REF!*B178/12*#REF!),(#REF!*'W6'!B178))</f>
        <v>#REF!</v>
      </c>
      <c r="I178" s="70" t="e">
        <f>IF(#REF!="No",(#REF!*C178/12*#REF!),(#REF!*'W6'!C178))</f>
        <v>#REF!</v>
      </c>
      <c r="J178" s="70" t="e">
        <f>IF(#REF!="No",(#REF!*D178/12*#REF!),(#REF!*'W6'!D178))</f>
        <v>#REF!</v>
      </c>
      <c r="K178" s="70" t="e">
        <f>IF(#REF!="No",(#REF!*E178/12*#REF!),(#REF!*'W6'!E178))</f>
        <v>#REF!</v>
      </c>
      <c r="L178" s="70" t="e">
        <f>IF(#REF!="No",(#REF!*F178/12*#REF!),(#REF!*'W6'!F178))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IF(#REF!="No",(#REF!*B179/12*#REF!),(#REF!*'W6'!B179))</f>
        <v>#REF!</v>
      </c>
      <c r="I179" s="70" t="e">
        <f>IF(#REF!="No",(#REF!*C179/12*#REF!),(#REF!*'W6'!C179))</f>
        <v>#REF!</v>
      </c>
      <c r="J179" s="70" t="e">
        <f>IF(#REF!="No",(#REF!*D179/12*#REF!),(#REF!*'W6'!D179))</f>
        <v>#REF!</v>
      </c>
      <c r="K179" s="70" t="e">
        <f>IF(#REF!="No",(#REF!*E179/12*#REF!),(#REF!*'W6'!E179))</f>
        <v>#REF!</v>
      </c>
      <c r="L179" s="70" t="e">
        <f>IF(#REF!="No",(#REF!*F179/12*#REF!),(#REF!*'W6'!F179))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IF(#REF!="No",(#REF!*B180/12*#REF!),(#REF!*'W6'!B180))</f>
        <v>#REF!</v>
      </c>
      <c r="I180" s="70" t="e">
        <f>IF(#REF!="No",(#REF!*C180/12*#REF!),(#REF!*'W6'!C180))</f>
        <v>#REF!</v>
      </c>
      <c r="J180" s="70" t="e">
        <f>IF(#REF!="No",(#REF!*D180/12*#REF!),(#REF!*'W6'!D180))</f>
        <v>#REF!</v>
      </c>
      <c r="K180" s="70" t="e">
        <f>IF(#REF!="No",(#REF!*E180/12*#REF!),(#REF!*'W6'!E180))</f>
        <v>#REF!</v>
      </c>
      <c r="L180" s="70" t="e">
        <f>IF(#REF!="No",(#REF!*F180/12*#REF!),(#REF!*'W6'!F180))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IF(#REF!="No",(#REF!*B181/12*#REF!),(#REF!*'W6'!B181))</f>
        <v>#REF!</v>
      </c>
      <c r="I181" s="70" t="e">
        <f>IF(#REF!="No",(#REF!*C181/12*#REF!),(#REF!*'W6'!C181))</f>
        <v>#REF!</v>
      </c>
      <c r="J181" s="70" t="e">
        <f>IF(#REF!="No",(#REF!*D181/12*#REF!),(#REF!*'W6'!D181))</f>
        <v>#REF!</v>
      </c>
      <c r="K181" s="70" t="e">
        <f>IF(#REF!="No",(#REF!*E181/12*#REF!),(#REF!*'W6'!E181))</f>
        <v>#REF!</v>
      </c>
      <c r="L181" s="70" t="e">
        <f>IF(#REF!="No",(#REF!*F181/12*#REF!),(#REF!*'W6'!F181))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IF(#REF!="No",(#REF!*B182/12*#REF!),(#REF!*'W6'!B182))</f>
        <v>#REF!</v>
      </c>
      <c r="I182" s="70" t="e">
        <f>IF(#REF!="No",(#REF!*C182/12*#REF!),(#REF!*'W6'!C182))</f>
        <v>#REF!</v>
      </c>
      <c r="J182" s="70" t="e">
        <f>IF(#REF!="No",(#REF!*D182/12*#REF!),(#REF!*'W6'!D182))</f>
        <v>#REF!</v>
      </c>
      <c r="K182" s="70" t="e">
        <f>IF(#REF!="No",(#REF!*E182/12*#REF!),(#REF!*'W6'!E182))</f>
        <v>#REF!</v>
      </c>
      <c r="L182" s="70" t="e">
        <f>IF(#REF!="No",(#REF!*F182/12*#REF!),(#REF!*'W6'!F182))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IF(#REF!="No",(#REF!*B183/12*#REF!),(#REF!*'W6'!B183))</f>
        <v>#REF!</v>
      </c>
      <c r="I183" s="70" t="e">
        <f>IF(#REF!="No",(#REF!*C183/12*#REF!),(#REF!*'W6'!C183))</f>
        <v>#REF!</v>
      </c>
      <c r="J183" s="70" t="e">
        <f>IF(#REF!="No",(#REF!*D183/12*#REF!),(#REF!*'W6'!D183))</f>
        <v>#REF!</v>
      </c>
      <c r="K183" s="70" t="e">
        <f>IF(#REF!="No",(#REF!*E183/12*#REF!),(#REF!*'W6'!E183))</f>
        <v>#REF!</v>
      </c>
      <c r="L183" s="70" t="e">
        <f>IF(#REF!="No",(#REF!*F183/12*#REF!),(#REF!*'W6'!F183))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IF(#REF!="No",(#REF!*B184/12*#REF!),(#REF!*'W6'!B184))</f>
        <v>#REF!</v>
      </c>
      <c r="I184" s="70" t="e">
        <f>IF(#REF!="No",(#REF!*C184/12*#REF!),(#REF!*'W6'!C184))</f>
        <v>#REF!</v>
      </c>
      <c r="J184" s="70" t="e">
        <f>IF(#REF!="No",(#REF!*D184/12*#REF!),(#REF!*'W6'!D184))</f>
        <v>#REF!</v>
      </c>
      <c r="K184" s="70" t="e">
        <f>IF(#REF!="No",(#REF!*E184/12*#REF!),(#REF!*'W6'!E184))</f>
        <v>#REF!</v>
      </c>
      <c r="L184" s="70" t="e">
        <f>IF(#REF!="No",(#REF!*F184/12*#REF!),(#REF!*'W6'!F184))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IF(#REF!="No",(#REF!*B185/12*#REF!),(#REF!*'W6'!B185))</f>
        <v>#REF!</v>
      </c>
      <c r="I185" s="70" t="e">
        <f>IF(#REF!="No",(#REF!*C185/12*#REF!),(#REF!*'W6'!C185))</f>
        <v>#REF!</v>
      </c>
      <c r="J185" s="70" t="e">
        <f>IF(#REF!="No",(#REF!*D185/12*#REF!),(#REF!*'W6'!D185))</f>
        <v>#REF!</v>
      </c>
      <c r="K185" s="70" t="e">
        <f>IF(#REF!="No",(#REF!*E185/12*#REF!),(#REF!*'W6'!E185))</f>
        <v>#REF!</v>
      </c>
      <c r="L185" s="70" t="e">
        <f>IF(#REF!="No",(#REF!*F185/12*#REF!),(#REF!*'W6'!F185))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IF(#REF!="No",(#REF!*B186/12*#REF!),(#REF!*'W6'!B186))</f>
        <v>#REF!</v>
      </c>
      <c r="I186" s="70" t="e">
        <f>IF(#REF!="No",(#REF!*C186/12*#REF!),(#REF!*'W6'!C186))</f>
        <v>#REF!</v>
      </c>
      <c r="J186" s="70" t="e">
        <f>IF(#REF!="No",(#REF!*D186/12*#REF!),(#REF!*'W6'!D186))</f>
        <v>#REF!</v>
      </c>
      <c r="K186" s="70" t="e">
        <f>IF(#REF!="No",(#REF!*E186/12*#REF!),(#REF!*'W6'!E186))</f>
        <v>#REF!</v>
      </c>
      <c r="L186" s="70" t="e">
        <f>IF(#REF!="No",(#REF!*F186/12*#REF!),(#REF!*'W6'!F186))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IF(#REF!="No",(#REF!*B187/12*#REF!),(#REF!*'W6'!B187))</f>
        <v>#REF!</v>
      </c>
      <c r="I187" s="70" t="e">
        <f>IF(#REF!="No",(#REF!*C187/12*#REF!),(#REF!*'W6'!C187))</f>
        <v>#REF!</v>
      </c>
      <c r="J187" s="70" t="e">
        <f>IF(#REF!="No",(#REF!*D187/12*#REF!),(#REF!*'W6'!D187))</f>
        <v>#REF!</v>
      </c>
      <c r="K187" s="70" t="e">
        <f>IF(#REF!="No",(#REF!*E187/12*#REF!),(#REF!*'W6'!E187))</f>
        <v>#REF!</v>
      </c>
      <c r="L187" s="70" t="e">
        <f>IF(#REF!="No",(#REF!*F187/12*#REF!),(#REF!*'W6'!F187))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IF(#REF!="No",(#REF!*B188/12*#REF!),(#REF!*'W6'!B188))</f>
        <v>#REF!</v>
      </c>
      <c r="I188" s="70" t="e">
        <f>IF(#REF!="No",(#REF!*C188/12*#REF!),(#REF!*'W6'!C188))</f>
        <v>#REF!</v>
      </c>
      <c r="J188" s="70" t="e">
        <f>IF(#REF!="No",(#REF!*D188/12*#REF!),(#REF!*'W6'!D188))</f>
        <v>#REF!</v>
      </c>
      <c r="K188" s="70" t="e">
        <f>IF(#REF!="No",(#REF!*E188/12*#REF!),(#REF!*'W6'!E188))</f>
        <v>#REF!</v>
      </c>
      <c r="L188" s="70" t="e">
        <f>IF(#REF!="No",(#REF!*F188/12*#REF!),(#REF!*'W6'!F188))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IF(#REF!="No",(#REF!*B189/12*#REF!),(#REF!*'W6'!B189))</f>
        <v>#REF!</v>
      </c>
      <c r="I189" s="70" t="e">
        <f>IF(#REF!="No",(#REF!*C189/12*#REF!),(#REF!*'W6'!C189))</f>
        <v>#REF!</v>
      </c>
      <c r="J189" s="70" t="e">
        <f>IF(#REF!="No",(#REF!*D189/12*#REF!),(#REF!*'W6'!D189))</f>
        <v>#REF!</v>
      </c>
      <c r="K189" s="70" t="e">
        <f>IF(#REF!="No",(#REF!*E189/12*#REF!),(#REF!*'W6'!E189))</f>
        <v>#REF!</v>
      </c>
      <c r="L189" s="70" t="e">
        <f>IF(#REF!="No",(#REF!*F189/12*#REF!),(#REF!*'W6'!F189))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IF(#REF!="No",(#REF!*B190/12*#REF!),(#REF!*'W6'!B190))</f>
        <v>#REF!</v>
      </c>
      <c r="I190" s="70" t="e">
        <f>IF(#REF!="No",(#REF!*C190/12*#REF!),(#REF!*'W6'!C190))</f>
        <v>#REF!</v>
      </c>
      <c r="J190" s="70" t="e">
        <f>IF(#REF!="No",(#REF!*D190/12*#REF!),(#REF!*'W6'!D190))</f>
        <v>#REF!</v>
      </c>
      <c r="K190" s="70" t="e">
        <f>IF(#REF!="No",(#REF!*E190/12*#REF!),(#REF!*'W6'!E190))</f>
        <v>#REF!</v>
      </c>
      <c r="L190" s="70" t="e">
        <f>IF(#REF!="No",(#REF!*F190/12*#REF!),(#REF!*'W6'!F190))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IF(#REF!="No",(#REF!*B191/12*#REF!),(#REF!*'W6'!B191))</f>
        <v>#REF!</v>
      </c>
      <c r="I191" s="70" t="e">
        <f>IF(#REF!="No",(#REF!*C191/12*#REF!),(#REF!*'W6'!C191))</f>
        <v>#REF!</v>
      </c>
      <c r="J191" s="70" t="e">
        <f>IF(#REF!="No",(#REF!*D191/12*#REF!),(#REF!*'W6'!D191))</f>
        <v>#REF!</v>
      </c>
      <c r="K191" s="70" t="e">
        <f>IF(#REF!="No",(#REF!*E191/12*#REF!),(#REF!*'W6'!E191))</f>
        <v>#REF!</v>
      </c>
      <c r="L191" s="70" t="e">
        <f>IF(#REF!="No",(#REF!*F191/12*#REF!),(#REF!*'W6'!F191))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IF(#REF!="No",(#REF!*B192/12*#REF!),(#REF!*'W6'!B192))</f>
        <v>#REF!</v>
      </c>
      <c r="I192" s="70" t="e">
        <f>IF(#REF!="No",(#REF!*C192/12*#REF!),(#REF!*'W6'!C192))</f>
        <v>#REF!</v>
      </c>
      <c r="J192" s="70" t="e">
        <f>IF(#REF!="No",(#REF!*D192/12*#REF!),(#REF!*'W6'!D192))</f>
        <v>#REF!</v>
      </c>
      <c r="K192" s="70" t="e">
        <f>IF(#REF!="No",(#REF!*E192/12*#REF!),(#REF!*'W6'!E192))</f>
        <v>#REF!</v>
      </c>
      <c r="L192" s="70" t="e">
        <f>IF(#REF!="No",(#REF!*F192/12*#REF!),(#REF!*'W6'!F192))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IF(#REF!="No",(#REF!*B193/12*#REF!),(#REF!*'W6'!B193))</f>
        <v>#REF!</v>
      </c>
      <c r="I193" s="70" t="e">
        <f>IF(#REF!="No",(#REF!*C193/12*#REF!),(#REF!*'W6'!C193))</f>
        <v>#REF!</v>
      </c>
      <c r="J193" s="70" t="e">
        <f>IF(#REF!="No",(#REF!*D193/12*#REF!),(#REF!*'W6'!D193))</f>
        <v>#REF!</v>
      </c>
      <c r="K193" s="70" t="e">
        <f>IF(#REF!="No",(#REF!*E193/12*#REF!),(#REF!*'W6'!E193))</f>
        <v>#REF!</v>
      </c>
      <c r="L193" s="70" t="e">
        <f>IF(#REF!="No",(#REF!*F193/12*#REF!),(#REF!*'W6'!F193))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IF(#REF!="No",(#REF!*B194/12*#REF!),(#REF!*'W6'!B194))</f>
        <v>#REF!</v>
      </c>
      <c r="I194" s="70" t="e">
        <f>IF(#REF!="No",(#REF!*C194/12*#REF!),(#REF!*'W6'!C194))</f>
        <v>#REF!</v>
      </c>
      <c r="J194" s="70" t="e">
        <f>IF(#REF!="No",(#REF!*D194/12*#REF!),(#REF!*'W6'!D194))</f>
        <v>#REF!</v>
      </c>
      <c r="K194" s="70" t="e">
        <f>IF(#REF!="No",(#REF!*E194/12*#REF!),(#REF!*'W6'!E194))</f>
        <v>#REF!</v>
      </c>
      <c r="L194" s="70" t="e">
        <f>IF(#REF!="No",(#REF!*F194/12*#REF!),(#REF!*'W6'!F194))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IF(#REF!="No",(#REF!*B195/12*#REF!),(#REF!*'W6'!B195))</f>
        <v>#REF!</v>
      </c>
      <c r="I195" s="70" t="e">
        <f>IF(#REF!="No",(#REF!*C195/12*#REF!),(#REF!*'W6'!C195))</f>
        <v>#REF!</v>
      </c>
      <c r="J195" s="70" t="e">
        <f>IF(#REF!="No",(#REF!*D195/12*#REF!),(#REF!*'W6'!D195))</f>
        <v>#REF!</v>
      </c>
      <c r="K195" s="70" t="e">
        <f>IF(#REF!="No",(#REF!*E195/12*#REF!),(#REF!*'W6'!E195))</f>
        <v>#REF!</v>
      </c>
      <c r="L195" s="70" t="e">
        <f>IF(#REF!="No",(#REF!*F195/12*#REF!),(#REF!*'W6'!F195))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IF(#REF!="No",(#REF!*B196/12*#REF!),(#REF!*'W6'!B196))</f>
        <v>#REF!</v>
      </c>
      <c r="I196" s="70" t="e">
        <f>IF(#REF!="No",(#REF!*C196/12*#REF!),(#REF!*'W6'!C196))</f>
        <v>#REF!</v>
      </c>
      <c r="J196" s="70" t="e">
        <f>IF(#REF!="No",(#REF!*D196/12*#REF!),(#REF!*'W6'!D196))</f>
        <v>#REF!</v>
      </c>
      <c r="K196" s="70" t="e">
        <f>IF(#REF!="No",(#REF!*E196/12*#REF!),(#REF!*'W6'!E196))</f>
        <v>#REF!</v>
      </c>
      <c r="L196" s="70" t="e">
        <f>IF(#REF!="No",(#REF!*F196/12*#REF!),(#REF!*'W6'!F196))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IF(#REF!="No",(#REF!*B197/12*#REF!),(#REF!*'W6'!B197))</f>
        <v>#REF!</v>
      </c>
      <c r="I197" s="70" t="e">
        <f>IF(#REF!="No",(#REF!*C197/12*#REF!),(#REF!*'W6'!C197))</f>
        <v>#REF!</v>
      </c>
      <c r="J197" s="70" t="e">
        <f>IF(#REF!="No",(#REF!*D197/12*#REF!),(#REF!*'W6'!D197))</f>
        <v>#REF!</v>
      </c>
      <c r="K197" s="70" t="e">
        <f>IF(#REF!="No",(#REF!*E197/12*#REF!),(#REF!*'W6'!E197))</f>
        <v>#REF!</v>
      </c>
      <c r="L197" s="70" t="e">
        <f>IF(#REF!="No",(#REF!*F197/12*#REF!),(#REF!*'W6'!F197))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IF(#REF!="No",(#REF!*B198/12*#REF!),(#REF!*'W6'!B198))</f>
        <v>#REF!</v>
      </c>
      <c r="I198" s="70" t="e">
        <f>IF(#REF!="No",(#REF!*C198/12*#REF!),(#REF!*'W6'!C198))</f>
        <v>#REF!</v>
      </c>
      <c r="J198" s="70" t="e">
        <f>IF(#REF!="No",(#REF!*D198/12*#REF!),(#REF!*'W6'!D198))</f>
        <v>#REF!</v>
      </c>
      <c r="K198" s="70" t="e">
        <f>IF(#REF!="No",(#REF!*E198/12*#REF!),(#REF!*'W6'!E198))</f>
        <v>#REF!</v>
      </c>
      <c r="L198" s="70" t="e">
        <f>IF(#REF!="No",(#REF!*F198/12*#REF!),(#REF!*'W6'!F198))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IF(#REF!="No",(#REF!*B199/12*#REF!),(#REF!*'W6'!B199))</f>
        <v>#REF!</v>
      </c>
      <c r="I199" s="70" t="e">
        <f>IF(#REF!="No",(#REF!*C199/12*#REF!),(#REF!*'W6'!C199))</f>
        <v>#REF!</v>
      </c>
      <c r="J199" s="70" t="e">
        <f>IF(#REF!="No",(#REF!*D199/12*#REF!),(#REF!*'W6'!D199))</f>
        <v>#REF!</v>
      </c>
      <c r="K199" s="70" t="e">
        <f>IF(#REF!="No",(#REF!*E199/12*#REF!),(#REF!*'W6'!E199))</f>
        <v>#REF!</v>
      </c>
      <c r="L199" s="70" t="e">
        <f>IF(#REF!="No",(#REF!*F199/12*#REF!),(#REF!*'W6'!F199))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IF(#REF!="No",(#REF!*B200/12*#REF!),(#REF!*'W6'!B200))</f>
        <v>#REF!</v>
      </c>
      <c r="I200" s="70" t="e">
        <f>IF(#REF!="No",(#REF!*C200/12*#REF!),(#REF!*'W6'!C200))</f>
        <v>#REF!</v>
      </c>
      <c r="J200" s="70" t="e">
        <f>IF(#REF!="No",(#REF!*D200/12*#REF!),(#REF!*'W6'!D200))</f>
        <v>#REF!</v>
      </c>
      <c r="K200" s="70" t="e">
        <f>IF(#REF!="No",(#REF!*E200/12*#REF!),(#REF!*'W6'!E200))</f>
        <v>#REF!</v>
      </c>
      <c r="L200" s="70" t="e">
        <f>IF(#REF!="No",(#REF!*F200/12*#REF!),(#REF!*'W6'!F200))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ROUND(#REF!/'W6'!H177*'W6'!B248*'W6'!$B$247+#REF!/'W6'!H177*'W6'!C248*'W6'!C247,0)</f>
        <v>#REF!</v>
      </c>
      <c r="C301" s="300"/>
      <c r="D301" s="302" t="e">
        <f>ROUND(#REF!/(D248+E248)*'W6'!D248*'W6'!D$247+#REF!/(D248+E248)*'W6'!E248*'W6'!E$247,0)</f>
        <v>#REF!</v>
      </c>
      <c r="E301" s="300"/>
      <c r="F301" s="302" t="e">
        <f>ROUND(#REF!/(F248+G248)*'W6'!F248*'W6'!F$247+#REF!/(F248+G248)*'W6'!G248*'W6'!G$247,0)</f>
        <v>#REF!</v>
      </c>
      <c r="G301" s="300"/>
      <c r="H301" s="302" t="e">
        <f>ROUND(#REF!/(H248+I248)*'W6'!H248*'W6'!H$247+#REF!/(H248+I248)*'W6'!I248*'W6'!I$247,0)</f>
        <v>#REF!</v>
      </c>
      <c r="I301" s="300"/>
      <c r="J301" s="302" t="e">
        <f>IF(J275=0,"",ROUND(#REF!/(J248+K248)*'W6'!J248*'W6'!J$247+#REF!/(J248+K248)*'W6'!K248*'W6'!K$247,0))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ROUND(#REF!/'W6'!H178*'W6'!B249*'W6'!$B$247+#REF!/'W6'!H178*'W6'!C249*'W6'!$C$247,0)</f>
        <v>#REF!</v>
      </c>
      <c r="C302" s="300"/>
      <c r="D302" s="302" t="e">
        <f>ROUND(#REF!/(D249+E249)*'W6'!D249*'W6'!D$247+#REF!/(D249+E249)*'W6'!E249*'W6'!E$247,0)</f>
        <v>#REF!</v>
      </c>
      <c r="E302" s="300"/>
      <c r="F302" s="302" t="e">
        <f>ROUND(#REF!/(F249+G249)*'W6'!F249*'W6'!F$247+#REF!/(F249+G249)*'W6'!G249*'W6'!G$247,0)</f>
        <v>#REF!</v>
      </c>
      <c r="G302" s="300"/>
      <c r="H302" s="302" t="e">
        <f>ROUND(#REF!/(H249+I249)*'W6'!H249*'W6'!H$247+#REF!/(H249+I249)*'W6'!I249*'W6'!I$247,0)</f>
        <v>#REF!</v>
      </c>
      <c r="I302" s="300"/>
      <c r="J302" s="302" t="e">
        <f>IF(J276=0,"",ROUND(#REF!/(J249+K249)*'W6'!J249*'W6'!J$247+#REF!/(J249+K249)*'W6'!K249*'W6'!K$247,0))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ROUND(#REF!/'W6'!H179*'W6'!B250*'W6'!$B$247+#REF!/'W6'!H179*'W6'!C250*'W6'!$C$247,0)</f>
        <v>#REF!</v>
      </c>
      <c r="C303" s="300"/>
      <c r="D303" s="302" t="e">
        <f>ROUND(#REF!/(D250+E250)*'W6'!D250*'W6'!D$247+#REF!/(D250+E250)*'W6'!E250*'W6'!E$247,0)</f>
        <v>#REF!</v>
      </c>
      <c r="E303" s="300"/>
      <c r="F303" s="302" t="e">
        <f>ROUND(#REF!/(F250+G250)*'W6'!F250*'W6'!F$247+#REF!/(F250+G250)*'W6'!G250*'W6'!G$247,0)</f>
        <v>#REF!</v>
      </c>
      <c r="G303" s="300"/>
      <c r="H303" s="302" t="e">
        <f>ROUND(#REF!/(H250+I250)*'W6'!H250*'W6'!H$247+#REF!/(H250+I250)*'W6'!I250*'W6'!I$247,0)</f>
        <v>#REF!</v>
      </c>
      <c r="I303" s="300"/>
      <c r="J303" s="302" t="e">
        <f>IF(J277=0,"",ROUND(#REF!/(J250+K250)*'W6'!J250*'W6'!J$247+#REF!/(J250+K250)*'W6'!K250*'W6'!K$247,0))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ROUND(#REF!/'W6'!H180*'W6'!B251*'W6'!$B$247+#REF!/'W6'!H180*'W6'!C251*'W6'!$C$247,0)</f>
        <v>#REF!</v>
      </c>
      <c r="C304" s="300"/>
      <c r="D304" s="302" t="e">
        <f>ROUND(#REF!/(D251+E251)*'W6'!D251*'W6'!D$247+#REF!/(D251+E251)*'W6'!E251*'W6'!E$247,0)</f>
        <v>#REF!</v>
      </c>
      <c r="E304" s="300"/>
      <c r="F304" s="302" t="e">
        <f>ROUND(#REF!/(F251+G251)*'W6'!F251*'W6'!F$247+#REF!/(F251+G251)*'W6'!G251*'W6'!G$247,0)</f>
        <v>#REF!</v>
      </c>
      <c r="G304" s="300"/>
      <c r="H304" s="302" t="e">
        <f>ROUND(#REF!/(H251+I251)*'W6'!H251*'W6'!H$247+#REF!/(H251+I251)*'W6'!I251*'W6'!I$247,0)</f>
        <v>#REF!</v>
      </c>
      <c r="I304" s="300"/>
      <c r="J304" s="302" t="e">
        <f>IF(J278=0,"",ROUND(#REF!/(J251+K251)*'W6'!J251*'W6'!J$247+#REF!/(J251+K251)*'W6'!K251*'W6'!K$247,0))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IF((B252+C252)&lt;&gt;0,ROUND(#REF!/'W6'!H181*'W6'!B252*'W6'!$B$247+#REF!/'W6'!H181*'W6'!C252*'W6'!$C$247,0),0)</f>
        <v>#REF!</v>
      </c>
      <c r="C305" s="300"/>
      <c r="D305" s="302" t="e">
        <f>ROUND(#REF!/(D252+E252)*'W6'!D252*'W6'!D$247+#REF!/(D252+E252)*'W6'!E252*'W6'!E$247,0)</f>
        <v>#REF!</v>
      </c>
      <c r="E305" s="300"/>
      <c r="F305" s="302" t="e">
        <f>ROUND(#REF!/(F252+G252)*'W6'!F252*'W6'!F$247+#REF!/(F252+G252)*'W6'!G252*'W6'!G$247,0)</f>
        <v>#REF!</v>
      </c>
      <c r="G305" s="300"/>
      <c r="H305" s="302" t="e">
        <f>ROUND(#REF!/(H252+I252)*'W6'!H252*'W6'!H$247+#REF!/(H252+I252)*'W6'!I252*'W6'!I$247,0)</f>
        <v>#REF!</v>
      </c>
      <c r="I305" s="300"/>
      <c r="J305" s="302" t="e">
        <f>IF(J279=0,"",ROUND(#REF!/(J252+K252)*'W6'!J252*'W6'!J$247+#REF!/(J252+K252)*'W6'!K252*'W6'!K$247,0))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IF((B253+C253)&lt;&gt;0,ROUND(#REF!/'W6'!H182*'W6'!B253*'W6'!$B$247+#REF!/'W6'!H182*'W6'!C253*'W6'!$C$247,0),0)</f>
        <v>#REF!</v>
      </c>
      <c r="C306" s="300"/>
      <c r="D306" s="302" t="e">
        <f>ROUND(#REF!/(D253+E253)*'W6'!D253*'W6'!D$247+#REF!/(D253+E253)*'W6'!E253*'W6'!E$247,0)</f>
        <v>#REF!</v>
      </c>
      <c r="E306" s="300"/>
      <c r="F306" s="302" t="e">
        <f>ROUND(#REF!/(F253+G253)*'W6'!F253*'W6'!F$247+#REF!/(F253+G253)*'W6'!G253*'W6'!G$247,0)</f>
        <v>#REF!</v>
      </c>
      <c r="G306" s="300"/>
      <c r="H306" s="302" t="e">
        <f>ROUND(#REF!/(H253+I253)*'W6'!H253*'W6'!H$247+#REF!/(H253+I253)*'W6'!I253*'W6'!I$247,0)</f>
        <v>#REF!</v>
      </c>
      <c r="I306" s="300"/>
      <c r="J306" s="302" t="e">
        <f>IF(J280=0,"",ROUND(#REF!/(J253+K253)*'W6'!J253*'W6'!J$247+#REF!/(J253+K253)*'W6'!K253*'W6'!K$247,0))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IF((B254+C254)&lt;&gt;0,ROUND(#REF!/'W6'!H183*'W6'!B254*'W6'!$B$247+#REF!/'W6'!H183*'W6'!C254*'W6'!$C$247,0),0)</f>
        <v>#REF!</v>
      </c>
      <c r="C307" s="300"/>
      <c r="D307" s="302" t="e">
        <f>ROUND(#REF!/(D254+E254)*'W6'!D254*'W6'!D$247+#REF!/(D254+E254)*'W6'!E254*'W6'!E$247,0)</f>
        <v>#REF!</v>
      </c>
      <c r="E307" s="300"/>
      <c r="F307" s="302" t="e">
        <f>ROUND(#REF!/(F254+G254)*'W6'!F254*'W6'!F$247+#REF!/(F254+G254)*'W6'!G254*'W6'!G$247,0)</f>
        <v>#REF!</v>
      </c>
      <c r="G307" s="300"/>
      <c r="H307" s="302" t="e">
        <f>ROUND(#REF!/(H254+I254)*'W6'!H254*'W6'!H$247+#REF!/(H254+I254)*'W6'!I254*'W6'!I$247,0)</f>
        <v>#REF!</v>
      </c>
      <c r="I307" s="300"/>
      <c r="J307" s="302" t="e">
        <f>IF(J281=0,"",ROUND(#REF!/(J254+K254)*'W6'!J254*'W6'!J$247+#REF!/(J254+K254)*'W6'!K254*'W6'!K$247,0))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IF((B255+C255)&lt;&gt;0,ROUND(#REF!/'W6'!H184*'W6'!B255*'W6'!$B$247+#REF!/'W6'!H184*'W6'!C255*'W6'!$C$247,0),0)</f>
        <v>#REF!</v>
      </c>
      <c r="C308" s="300"/>
      <c r="D308" s="302" t="e">
        <f>ROUND(#REF!/(D255+E255)*'W6'!D255*'W6'!D$247+#REF!/(D255+E255)*'W6'!E255*'W6'!E$247,0)</f>
        <v>#REF!</v>
      </c>
      <c r="E308" s="300"/>
      <c r="F308" s="302" t="e">
        <f>ROUND(#REF!/(F255+G255)*'W6'!F255*'W6'!F$247+#REF!/(F255+G255)*'W6'!G255*'W6'!G$247,0)</f>
        <v>#REF!</v>
      </c>
      <c r="G308" s="300"/>
      <c r="H308" s="302" t="e">
        <f>ROUND(#REF!/(H255+I255)*'W6'!H255*'W6'!H$247+#REF!/(H255+I255)*'W6'!I255*'W6'!I$247,0)</f>
        <v>#REF!</v>
      </c>
      <c r="I308" s="300"/>
      <c r="J308" s="302" t="e">
        <f>IF(J282=0,"",ROUND(#REF!/(J255+K255)*'W6'!J255*'W6'!J$247+#REF!/(J255+K255)*'W6'!K255*'W6'!K$247,0))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IF((B256+C256)&lt;&gt;0,ROUND(#REF!/'W6'!H185*'W6'!B256*'W6'!$B$247+#REF!/'W6'!H185*'W6'!C256*'W6'!$C$247,0),0)</f>
        <v>#REF!</v>
      </c>
      <c r="C309" s="300"/>
      <c r="D309" s="302" t="e">
        <f>ROUND(#REF!/(D256+E256)*'W6'!D256*'W6'!D$247+#REF!/(D256+E256)*'W6'!E256*'W6'!E$247,0)</f>
        <v>#REF!</v>
      </c>
      <c r="E309" s="300"/>
      <c r="F309" s="302" t="e">
        <f>ROUND(#REF!/(F256+G256)*'W6'!F256*'W6'!F$247+#REF!/(F256+G256)*'W6'!G256*'W6'!G$247,0)</f>
        <v>#REF!</v>
      </c>
      <c r="G309" s="300"/>
      <c r="H309" s="302" t="e">
        <f>ROUND(#REF!/(H256+I256)*'W6'!H256*'W6'!H$247+#REF!/(H256+I256)*'W6'!I256*'W6'!I$247,0)</f>
        <v>#REF!</v>
      </c>
      <c r="I309" s="300"/>
      <c r="J309" s="302" t="e">
        <f>IF(J283=0,"",ROUND(#REF!/(J256+K256)*'W6'!J256*'W6'!J$247+#REF!/(J256+K256)*'W6'!K256*'W6'!K$247,0))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IF((B257+C257)&lt;&gt;0,ROUND(#REF!/'W6'!H186*'W6'!B257*'W6'!$B$247+#REF!/'W6'!H186*'W6'!C257*'W6'!$C$247,0),0)</f>
        <v>#REF!</v>
      </c>
      <c r="C310" s="300"/>
      <c r="D310" s="302" t="e">
        <f>ROUND(#REF!/(D257+E257)*'W6'!D257*'W6'!D$247+#REF!/(D257+E257)*'W6'!E257*'W6'!E$247,0)</f>
        <v>#REF!</v>
      </c>
      <c r="E310" s="300"/>
      <c r="F310" s="302" t="e">
        <f>ROUND(#REF!/(F257+G257)*'W6'!F257*'W6'!F$247+#REF!/(F257+G257)*'W6'!G257*'W6'!G$247,0)</f>
        <v>#REF!</v>
      </c>
      <c r="G310" s="300"/>
      <c r="H310" s="302" t="e">
        <f>ROUND(#REF!/(H257+I257)*'W6'!H257*'W6'!H$247+#REF!/(H257+I257)*'W6'!I257*'W6'!I$247,0)</f>
        <v>#REF!</v>
      </c>
      <c r="I310" s="300"/>
      <c r="J310" s="302" t="e">
        <f>IF(J284=0,"",ROUND(#REF!/(J257+K257)*'W6'!J257*'W6'!J$247+#REF!/(J257+K257)*'W6'!K257*'W6'!K$247,0))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IF((B258+C258)&lt;&gt;0,ROUND(#REF!/'W6'!H187*'W6'!B258*'W6'!$B$247+#REF!/'W6'!H187*'W6'!C258*'W6'!$C$247,0),0)</f>
        <v>#REF!</v>
      </c>
      <c r="C311" s="300"/>
      <c r="D311" s="302" t="e">
        <f>ROUND(#REF!/(D258+E258)*'W6'!D258*'W6'!D$247+#REF!/(D258+E258)*'W6'!E258*'W6'!E$247,0)</f>
        <v>#REF!</v>
      </c>
      <c r="E311" s="300"/>
      <c r="F311" s="302" t="e">
        <f>ROUND(#REF!/(F258+G258)*'W6'!F258*'W6'!F$247+#REF!/(F258+G258)*'W6'!G258*'W6'!G$247,0)</f>
        <v>#REF!</v>
      </c>
      <c r="G311" s="300"/>
      <c r="H311" s="302" t="e">
        <f>ROUND(#REF!/(H258+I258)*'W6'!H258*'W6'!H$247+#REF!/(H258+I258)*'W6'!I258*'W6'!I$247,0)</f>
        <v>#REF!</v>
      </c>
      <c r="I311" s="300"/>
      <c r="J311" s="302" t="e">
        <f>IF(J285=0,"",ROUND(#REF!/(J258+K258)*'W6'!J258*'W6'!J$247+#REF!/(J258+K258)*'W6'!K258*'W6'!K$247,0))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IF((B259+C259)&lt;&gt;0,ROUND(#REF!/'W6'!H188*'W6'!B259*'W6'!$B$247+#REF!/'W6'!H188*'W6'!C259*'W6'!$C$247,0),0)</f>
        <v>#REF!</v>
      </c>
      <c r="C312" s="300"/>
      <c r="D312" s="302" t="e">
        <f>ROUND(#REF!/(D259+E259)*'W6'!D259*'W6'!D$247+#REF!/(D259+E259)*'W6'!E259*'W6'!E$247,0)</f>
        <v>#REF!</v>
      </c>
      <c r="E312" s="300"/>
      <c r="F312" s="302" t="e">
        <f>ROUND(#REF!/(F259+G259)*'W6'!F259*'W6'!F$247+#REF!/(F259+G259)*'W6'!G259*'W6'!G$247,0)</f>
        <v>#REF!</v>
      </c>
      <c r="G312" s="300"/>
      <c r="H312" s="302" t="e">
        <f>ROUND(#REF!/(H259+I259)*'W6'!H259*'W6'!H$247+#REF!/(H259+I259)*'W6'!I259*'W6'!I$247,0)</f>
        <v>#REF!</v>
      </c>
      <c r="I312" s="300"/>
      <c r="J312" s="302" t="e">
        <f>IF(J286=0,"",ROUND(#REF!/(J259+K259)*'W6'!J259*'W6'!J$247+#REF!/(J259+K259)*'W6'!K259*'W6'!K$247,0))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IF((B260+C260)&lt;&gt;0,ROUND(#REF!/'W6'!H189*'W6'!B260*'W6'!$B$247+#REF!/'W6'!H189*'W6'!C260*'W6'!$C$247,0),0)</f>
        <v>#REF!</v>
      </c>
      <c r="C313" s="300"/>
      <c r="D313" s="302" t="e">
        <f>ROUND(#REF!/(D260+E260)*'W6'!D260*'W6'!D$247+#REF!/(D260+E260)*'W6'!E260*'W6'!E$247,0)</f>
        <v>#REF!</v>
      </c>
      <c r="E313" s="300"/>
      <c r="F313" s="302" t="e">
        <f>ROUND(#REF!/(F260+G260)*'W6'!F260*'W6'!F$247+#REF!/(F260+G260)*'W6'!G260*'W6'!G$247,0)</f>
        <v>#REF!</v>
      </c>
      <c r="G313" s="300"/>
      <c r="H313" s="302" t="e">
        <f>ROUND(#REF!/(H260+I260)*'W6'!H260*'W6'!H$247+#REF!/(H260+I260)*'W6'!I260*'W6'!I$247,0)</f>
        <v>#REF!</v>
      </c>
      <c r="I313" s="300"/>
      <c r="J313" s="302" t="e">
        <f>IF(J287=0,"",ROUND(#REF!/(J260+K260)*'W6'!J260*'W6'!J$247+#REF!/(J260+K260)*'W6'!K260*'W6'!K$247,0))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IF((B261+C261)&lt;&gt;0,ROUND(#REF!/'W6'!H190*'W6'!B261*'W6'!$B$247+#REF!/'W6'!H190*'W6'!C261*'W6'!$C$247,0),0)</f>
        <v>#REF!</v>
      </c>
      <c r="C314" s="300"/>
      <c r="D314" s="302" t="e">
        <f>ROUND(#REF!/(D261+E261)*'W6'!D261*'W6'!D$247+#REF!/(D261+E261)*'W6'!E261*'W6'!E$247,0)</f>
        <v>#REF!</v>
      </c>
      <c r="E314" s="300"/>
      <c r="F314" s="302" t="e">
        <f>ROUND(#REF!/(F261+G261)*'W6'!F261*'W6'!F$247+#REF!/(F261+G261)*'W6'!G261*'W6'!G$247,0)</f>
        <v>#REF!</v>
      </c>
      <c r="G314" s="300"/>
      <c r="H314" s="302" t="e">
        <f>ROUND(#REF!/(H261+I261)*'W6'!H261*'W6'!H$247+#REF!/(H261+I261)*'W6'!I261*'W6'!I$247,0)</f>
        <v>#REF!</v>
      </c>
      <c r="I314" s="300"/>
      <c r="J314" s="302" t="e">
        <f>IF(J288=0,"",ROUND(#REF!/(J261+K261)*'W6'!J261*'W6'!J$247+#REF!/(J261+K261)*'W6'!K261*'W6'!K$247,0))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IF((B262+C262)&lt;&gt;0,ROUND(#REF!/'W6'!H191*'W6'!B262*'W6'!$B$247+#REF!/'W6'!H191*'W6'!C262*'W6'!$C$247,0),0)</f>
        <v>#REF!</v>
      </c>
      <c r="C315" s="300"/>
      <c r="D315" s="302" t="e">
        <f>ROUND(#REF!/(D262+E262)*'W6'!D262*'W6'!D$247+#REF!/(D262+E262)*'W6'!E262*'W6'!E$247,0)</f>
        <v>#REF!</v>
      </c>
      <c r="E315" s="300"/>
      <c r="F315" s="302" t="e">
        <f>ROUND(#REF!/(F262+G262)*'W6'!F262*'W6'!F$247+#REF!/(F262+G262)*'W6'!G262*'W6'!G$247,0)</f>
        <v>#REF!</v>
      </c>
      <c r="G315" s="300"/>
      <c r="H315" s="302" t="e">
        <f>ROUND(#REF!/(H262+I262)*'W6'!H262*'W6'!H$247+#REF!/(H262+I262)*'W6'!I262*'W6'!I$247,0)</f>
        <v>#REF!</v>
      </c>
      <c r="I315" s="300"/>
      <c r="J315" s="302" t="e">
        <f>IF(J289=0,"",ROUND(#REF!/(J262+K262)*'W6'!J262*'W6'!J$247+#REF!/(J262+K262)*'W6'!K262*'W6'!K$247,0))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IF((B263+C263)&lt;&gt;0,ROUND(#REF!/'W6'!H192*'W6'!B263*'W6'!$B$247+#REF!/'W6'!H192*'W6'!C263*'W6'!$C$247,0),0)</f>
        <v>#REF!</v>
      </c>
      <c r="C316" s="300"/>
      <c r="D316" s="302" t="e">
        <f>ROUND(#REF!/(D263+E263)*'W6'!D263*'W6'!D$247+#REF!/(D263+E263)*'W6'!E263*'W6'!E$247,0)</f>
        <v>#REF!</v>
      </c>
      <c r="E316" s="300"/>
      <c r="F316" s="302" t="e">
        <f>ROUND(#REF!/(F263+G263)*'W6'!F263*'W6'!F$247+#REF!/(F263+G263)*'W6'!G263*'W6'!G$247,0)</f>
        <v>#REF!</v>
      </c>
      <c r="G316" s="300"/>
      <c r="H316" s="302" t="e">
        <f>ROUND(#REF!/(H263+I263)*'W6'!H263*'W6'!H$247+#REF!/(H263+I263)*'W6'!I263*'W6'!I$247,0)</f>
        <v>#REF!</v>
      </c>
      <c r="I316" s="300"/>
      <c r="J316" s="302" t="e">
        <f>IF(J290=0,"",ROUND(#REF!/(J263+K263)*'W6'!J263*'W6'!J$247+#REF!/(J263+K263)*'W6'!K263*'W6'!K$247,0))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IF((B264+C264)&lt;&gt;0,ROUND(#REF!/'W6'!H193*'W6'!B264*'W6'!$B$247+#REF!/'W6'!H193*'W6'!C264*'W6'!$C$247,0),0)</f>
        <v>#REF!</v>
      </c>
      <c r="C317" s="300"/>
      <c r="D317" s="302" t="e">
        <f>ROUND(#REF!/(D264+E264)*'W6'!D264*'W6'!D$247+#REF!/(D264+E264)*'W6'!E264*'W6'!E$247,0)</f>
        <v>#REF!</v>
      </c>
      <c r="E317" s="300"/>
      <c r="F317" s="302" t="e">
        <f>ROUND(#REF!/(F264+G264)*'W6'!F264*'W6'!F$247+#REF!/(F264+G264)*'W6'!G264*'W6'!G$247,0)</f>
        <v>#REF!</v>
      </c>
      <c r="G317" s="300"/>
      <c r="H317" s="302" t="e">
        <f>ROUND(#REF!/(H264+I264)*'W6'!H264*'W6'!H$247+#REF!/(H264+I264)*'W6'!I264*'W6'!I$247,0)</f>
        <v>#REF!</v>
      </c>
      <c r="I317" s="300"/>
      <c r="J317" s="302" t="e">
        <f>IF(J291=0,"",ROUND(#REF!/(J264+K264)*'W6'!J264*'W6'!J$247+#REF!/(J264+K264)*'W6'!K264*'W6'!K$247,0))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IF((B265+C265)&lt;&gt;0,ROUND(#REF!/'W6'!H194*'W6'!B265*'W6'!$B$247+#REF!/'W6'!H194*'W6'!C265*'W6'!$C$247,0),0)</f>
        <v>#REF!</v>
      </c>
      <c r="C318" s="300"/>
      <c r="D318" s="302" t="e">
        <f>ROUND(#REF!/(D265+E265)*'W6'!D265*'W6'!D$247+#REF!/(D265+E265)*'W6'!E265*'W6'!E$247,0)</f>
        <v>#REF!</v>
      </c>
      <c r="E318" s="300"/>
      <c r="F318" s="302" t="e">
        <f>ROUND(#REF!/(F265+G265)*'W6'!F265*'W6'!F$247+#REF!/(F265+G265)*'W6'!G265*'W6'!G$247,0)</f>
        <v>#REF!</v>
      </c>
      <c r="G318" s="300"/>
      <c r="H318" s="302" t="e">
        <f>ROUND(#REF!/(H265+I265)*'W6'!H265*'W6'!H$247+#REF!/(H265+I265)*'W6'!I265*'W6'!I$247,0)</f>
        <v>#REF!</v>
      </c>
      <c r="I318" s="300"/>
      <c r="J318" s="302" t="e">
        <f>IF(J292=0,"",ROUND(#REF!/(J265+K265)*'W6'!J265*'W6'!J$247+#REF!/(J265+K265)*'W6'!K265*'W6'!K$247,0))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IF((B266+C266)&lt;&gt;0,ROUND(#REF!/'W6'!H195*'W6'!B266*'W6'!$B$247+#REF!/'W6'!H195*'W6'!C266*'W6'!$C$247,0),0)</f>
        <v>#REF!</v>
      </c>
      <c r="C319" s="300"/>
      <c r="D319" s="302" t="e">
        <f>ROUND(#REF!/(D266+E266)*'W6'!D266*'W6'!D$247+#REF!/(D266+E266)*'W6'!E266*'W6'!E$247,0)</f>
        <v>#REF!</v>
      </c>
      <c r="E319" s="300"/>
      <c r="F319" s="302" t="e">
        <f>ROUND(#REF!/(F266+G266)*'W6'!F266*'W6'!F$247+#REF!/(F266+G266)*'W6'!G266*'W6'!G$247,0)</f>
        <v>#REF!</v>
      </c>
      <c r="G319" s="300"/>
      <c r="H319" s="302" t="e">
        <f>ROUND(#REF!/(H266+I266)*'W6'!H266*'W6'!H$247+#REF!/(H266+I266)*'W6'!I266*'W6'!I$247,0)</f>
        <v>#REF!</v>
      </c>
      <c r="I319" s="300"/>
      <c r="J319" s="302" t="e">
        <f>IF(J293=0,"",ROUND(#REF!/(J266+K266)*'W6'!J266*'W6'!J$247+#REF!/(J266+K266)*'W6'!K266*'W6'!K$247,0))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IF((B267+C267)&lt;&gt;0,ROUND(#REF!/'W6'!H196*'W6'!B267*'W6'!$B$247+#REF!/'W6'!H196*'W6'!C267*'W6'!$C$247,0),0)</f>
        <v>#REF!</v>
      </c>
      <c r="C320" s="300"/>
      <c r="D320" s="302" t="e">
        <f>ROUND(#REF!/(D267+E267)*'W6'!D267*'W6'!D$247+#REF!/(D267+E267)*'W6'!E267*'W6'!E$247,0)</f>
        <v>#REF!</v>
      </c>
      <c r="E320" s="300"/>
      <c r="F320" s="302" t="e">
        <f>ROUND(#REF!/(F267+G267)*'W6'!F267*'W6'!F$247+#REF!/(F267+G267)*'W6'!G267*'W6'!G$247,0)</f>
        <v>#REF!</v>
      </c>
      <c r="G320" s="300"/>
      <c r="H320" s="302" t="e">
        <f>ROUND(#REF!/(H267+I267)*'W6'!H267*'W6'!H$247+#REF!/(H267+I267)*'W6'!I267*'W6'!I$247,0)</f>
        <v>#REF!</v>
      </c>
      <c r="I320" s="300"/>
      <c r="J320" s="302" t="e">
        <f>IF(J294=0,"",ROUND(#REF!/(J267+K267)*'W6'!J267*'W6'!J$247+#REF!/(J267+K267)*'W6'!K267*'W6'!K$247,0))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IF((B268+C268)&lt;&gt;0,ROUND(#REF!/'W6'!H197*'W6'!B268*'W6'!$B$247+#REF!/'W6'!H197*'W6'!C268*'W6'!$C$247,0),0)</f>
        <v>#REF!</v>
      </c>
      <c r="C321" s="300"/>
      <c r="D321" s="302" t="e">
        <f>ROUND(#REF!/(D268+E268)*'W6'!D268*'W6'!D$247+#REF!/(D268+E268)*'W6'!E268*'W6'!E$247,0)</f>
        <v>#REF!</v>
      </c>
      <c r="E321" s="300"/>
      <c r="F321" s="302" t="e">
        <f>ROUND(#REF!/(F268+G268)*'W6'!F268*'W6'!F$247+#REF!/(F268+G268)*'W6'!G268*'W6'!G$247,0)</f>
        <v>#REF!</v>
      </c>
      <c r="G321" s="300"/>
      <c r="H321" s="302" t="e">
        <f>ROUND(#REF!/(H268+I268)*'W6'!H268*'W6'!H$247+#REF!/(H268+I268)*'W6'!I268*'W6'!I$247,0)</f>
        <v>#REF!</v>
      </c>
      <c r="I321" s="300"/>
      <c r="J321" s="302" t="e">
        <f>IF(J295=0,"",ROUND(#REF!/(J268+K268)*'W6'!J268*'W6'!J$247+#REF!/(J268+K268)*'W6'!K268*'W6'!K$247,0))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IF((B269+C269)&lt;&gt;0,ROUND(#REF!/'W6'!H198*'W6'!B269*'W6'!$B$247+#REF!/'W6'!H198*'W6'!C269*'W6'!$C$247,0),0)</f>
        <v>#REF!</v>
      </c>
      <c r="C322" s="300"/>
      <c r="D322" s="302" t="e">
        <f>ROUND(#REF!/(D269+E269)*'W6'!D269*'W6'!D$247+#REF!/(D269+E269)*'W6'!E269*'W6'!E$247,0)</f>
        <v>#REF!</v>
      </c>
      <c r="E322" s="300"/>
      <c r="F322" s="302" t="e">
        <f>ROUND(#REF!/(F269+G269)*'W6'!F269*'W6'!F$247+#REF!/(F269+G269)*'W6'!G269*'W6'!G$247,0)</f>
        <v>#REF!</v>
      </c>
      <c r="G322" s="300"/>
      <c r="H322" s="302" t="e">
        <f>ROUND(#REF!/(H269+I269)*'W6'!H269*'W6'!H$247+#REF!/(H269+I269)*'W6'!I269*'W6'!I$247,0)</f>
        <v>#REF!</v>
      </c>
      <c r="I322" s="300"/>
      <c r="J322" s="302" t="e">
        <f>IF(J296=0,"",ROUND(#REF!/(J269+K269)*'W6'!J269*'W6'!J$247+#REF!/(J269+K269)*'W6'!K269*'W6'!K$247,0))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IF((B270+C270)&lt;&gt;0,ROUND(#REF!/'W6'!H199*'W6'!B270*'W6'!$B$247+#REF!/'W6'!H199*'W6'!C270*'W6'!$C$247,0),0)</f>
        <v>#REF!</v>
      </c>
      <c r="C323" s="300"/>
      <c r="D323" s="302" t="e">
        <f>ROUND(#REF!/(D270+E270)*'W6'!D270*'W6'!D$247+#REF!/(D270+E270)*'W6'!E270*'W6'!E$247,0)</f>
        <v>#REF!</v>
      </c>
      <c r="E323" s="300"/>
      <c r="F323" s="302" t="e">
        <f>ROUND(#REF!/(F270+G270)*'W6'!F270*'W6'!F$247+#REF!/(F270+G270)*'W6'!G270*'W6'!G$247,0)</f>
        <v>#REF!</v>
      </c>
      <c r="G323" s="300"/>
      <c r="H323" s="302" t="e">
        <f>ROUND(#REF!/(H270+I270)*'W6'!H270*'W6'!H$247+#REF!/(H270+I270)*'W6'!I270*'W6'!I$247,0)</f>
        <v>#REF!</v>
      </c>
      <c r="I323" s="300"/>
      <c r="J323" s="302" t="e">
        <f>IF(J297=0,"",ROUND(#REF!/(J270+K270)*'W6'!J270*'W6'!J$247+#REF!/(J270+K270)*'W6'!K270*'W6'!K$247,0))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IF((B271+C271)&lt;&gt;0,ROUND(#REF!/'W6'!H200*'W6'!B271*'W6'!$B$247+#REF!/'W6'!H200*'W6'!C271*'W6'!$C$247,0),0)</f>
        <v>#REF!</v>
      </c>
      <c r="C324" s="300"/>
      <c r="D324" s="302" t="e">
        <f>ROUND(#REF!/(D271+E271)*'W6'!D271*'W6'!D$247+#REF!/(D271+E271)*'W6'!E271*'W6'!E$247,0)</f>
        <v>#REF!</v>
      </c>
      <c r="E324" s="300"/>
      <c r="F324" s="302" t="e">
        <f>ROUND(#REF!/(F271+G271)*'W6'!F271*'W6'!F$247+#REF!/(F271+G271)*'W6'!G271*'W6'!G$247,0)</f>
        <v>#REF!</v>
      </c>
      <c r="G324" s="300"/>
      <c r="H324" s="302" t="e">
        <f>ROUND(#REF!/(H271+I271)*'W6'!H271*'W6'!H$247+#REF!/(H271+I271)*'W6'!I271*'W6'!I$247,0)</f>
        <v>#REF!</v>
      </c>
      <c r="I324" s="300"/>
      <c r="J324" s="302" t="e">
        <f>IF(J298=0,"",ROUND(#REF!/(J271+K271)*'W6'!J271*'W6'!J$247+#REF!/(J271+K271)*'W6'!K271*'W6'!K$247,0))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28" s="300"/>
      <c r="D328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28" s="300"/>
      <c r="F328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28" s="300"/>
      <c r="H328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28" s="300"/>
      <c r="J328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29" s="300"/>
      <c r="D329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29" s="300"/>
      <c r="F329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29" s="300"/>
      <c r="H329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29" s="300"/>
      <c r="J329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0" s="300"/>
      <c r="D330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0" s="300"/>
      <c r="F330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0" s="300"/>
      <c r="H330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0" s="300"/>
      <c r="J330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1" s="300"/>
      <c r="D331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1" s="300"/>
      <c r="F331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1" s="300"/>
      <c r="H331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1" s="300"/>
      <c r="J331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2" s="300"/>
      <c r="D332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2" s="300"/>
      <c r="F332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2" s="300"/>
      <c r="H332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2" s="300"/>
      <c r="J332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3" s="300"/>
      <c r="D333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3" s="300"/>
      <c r="F333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3" s="300"/>
      <c r="H333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3" s="300"/>
      <c r="J333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4" s="300"/>
      <c r="D334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4" s="300"/>
      <c r="F334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4" s="300"/>
      <c r="H334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4" s="300"/>
      <c r="J334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5" s="300"/>
      <c r="D335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5" s="300"/>
      <c r="F335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5" s="300"/>
      <c r="H335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5" s="300"/>
      <c r="J335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6" s="300"/>
      <c r="D336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6" s="300"/>
      <c r="F336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6" s="300"/>
      <c r="H336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6" s="300"/>
      <c r="J336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7" s="300"/>
      <c r="D337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7" s="300"/>
      <c r="F337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7" s="300"/>
      <c r="H337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7" s="300"/>
      <c r="J337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8" s="300"/>
      <c r="D338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8" s="300"/>
      <c r="F338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8" s="300"/>
      <c r="H338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8" s="300"/>
      <c r="J338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39" s="300"/>
      <c r="D339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39" s="300"/>
      <c r="F339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39" s="300"/>
      <c r="H339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39" s="300"/>
      <c r="J339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0" s="300"/>
      <c r="D340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0" s="300"/>
      <c r="F340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0" s="300"/>
      <c r="H340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0" s="300"/>
      <c r="J340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1" s="300"/>
      <c r="D341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1" s="300"/>
      <c r="F341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1" s="300"/>
      <c r="H341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1" s="300"/>
      <c r="J341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2" s="300"/>
      <c r="D342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2" s="300"/>
      <c r="F342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2" s="300"/>
      <c r="H342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2" s="300"/>
      <c r="J342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3" s="300"/>
      <c r="D343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3" s="300"/>
      <c r="F343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3" s="300"/>
      <c r="H343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3" s="300"/>
      <c r="J343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4" s="300"/>
      <c r="D344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4" s="300"/>
      <c r="F344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4" s="300"/>
      <c r="H344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4" s="300"/>
      <c r="J344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5" s="300"/>
      <c r="D345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5" s="300"/>
      <c r="F345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5" s="300"/>
      <c r="H345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5" s="300"/>
      <c r="J345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6" s="300"/>
      <c r="D346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6" s="300"/>
      <c r="F346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6" s="300"/>
      <c r="H346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6" s="300"/>
      <c r="J346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7" s="300"/>
      <c r="D347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7" s="300"/>
      <c r="F347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7" s="300"/>
      <c r="H347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7" s="300"/>
      <c r="J347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8" s="300"/>
      <c r="D348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8" s="300"/>
      <c r="F348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8" s="300"/>
      <c r="H348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8" s="300"/>
      <c r="J348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49" s="300"/>
      <c r="D349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49" s="300"/>
      <c r="F349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49" s="300"/>
      <c r="H349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49" s="300"/>
      <c r="J349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50" s="300"/>
      <c r="D350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50" s="300"/>
      <c r="F350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50" s="300"/>
      <c r="H350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50" s="300"/>
      <c r="J350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6'!$C$5=0,"",IF(AND(#REF!="Multi",#REF!="FY"),ROUND(((1+#REF!)^'W6'!$B$20*'W6'!$C$9+(1+#REF!)^('W6'!$B$20+1)*'W6'!$C$10)/('W6'!$C$5)*#REF!,0),(IF(AND(#REF!="Multi",#REF!="PY"),ROUND(#REF!/('W6'!$C$5)*'W6'!$C$5,0),(IF(AND(#REF!&lt;&gt;"Multi",#REF!="FY"),ROUND(((1+#REF!)^'W6'!$B$20*'W6'!$C$9+(1+#REF!)^('W6'!$B$20+1)*'W6'!$C$10)/'W6'!$C$5*#REF!,0),ROUND(#REF!/'W6'!$C$5*'W6'!$C$5,0)))))))</f>
        <v>#REF!</v>
      </c>
      <c r="C351" s="300"/>
      <c r="D351" s="302" t="e">
        <f>IF('W6'!$D$5=0,"",IF($C$4=$D$4,(IF(AND(#REF!="Multi",#REF!="FY"),ROUND(((1+#REF!)^('W6'!$B$20)*'W6'!$D$9+(1+#REF!)^('W6'!$B$20+1)*'W6'!$D$10)/'W6'!$D$5*#REF!,0),(IF(AND(#REF!="Multi",#REF!="PY"),ROUND(#REF!*(1+#REF!)/'W6'!$D$5*'W6'!$D$5,0),(IF(AND(#REF!&lt;&gt;"Multi",#REF!="FY"),ROUND(((1+#REF!)^('W6'!$B$20)*'W6'!$D$9+(1+#REF!)^('W6'!$B$20+1)*'W6'!$D$10)/'W6'!$D$5*#REF!,0),ROUND(#REF!*(1+#REF!)/'W6'!$D$5*'W6'!$D$5,0))))))),(IF(AND(#REF!="Multi",#REF!="FY"),ROUND(((1+#REF!)^('W6'!$B$20+1)*'W6'!$D$9+(1+#REF!)^('W6'!$B$20+2)*'W6'!$D$10)/'W6'!$D$5*#REF!,0),(IF(AND(#REF!="Multi",#REF!="PY"),ROUND(#REF!*(1+#REF!)/'W6'!$D$5*'W6'!$D$5,0),(IF(AND(#REF!&lt;&gt;"Multi",#REF!="FY"),ROUND(((1+#REF!)^('W6'!$B$20+1)*'W6'!$D$9+(1+#REF!)^('W6'!$B$20+2)*'W6'!$D$10)/'W6'!$D$5*#REF!,0),ROUND(#REF!*(1+#REF!)/'W6'!$D$5*'W6'!$D$5,0)))))))))</f>
        <v>#REF!</v>
      </c>
      <c r="E351" s="300"/>
      <c r="F351" s="302" t="e">
        <f>IF('W6'!$E$5=0,"",IF($C$4=$D$4,(IF(AND(#REF!="Multi",#REF!="FY"),ROUND(((1+#REF!)^('W6'!$B$20+1)*'W6'!$E$9+(1+#REF!)^('W6'!$B$20+3)*'W6'!$E$10)/'W6'!$E$5*#REF!,0),(IF(AND(#REF!="Multi",#REF!="PY"),ROUND(#REF!*((1+#REF!)^2)/'W6'!$E$5*'W6'!$E$5,0),(IF(AND(#REF!&lt;&gt;"Multi",#REF!="FY"),ROUND(((1+#REF!)^('W6'!$B$20+1)*'W6'!$E$9+(1+#REF!)^('W6'!$B$20+2)*'W6'!$E$10)/'W6'!$E$5*#REF!,0),ROUND(#REF!*((1+#REF!)^2)/'W6'!$E$5*'W6'!$E$5,0))))))),(IF(AND(#REF!="Multi",#REF!="FY"),ROUND(((1+#REF!)^('W6'!$B$20+2)*'W6'!$E$9+(1+#REF!)^('W6'!$B$20+3)*'W6'!$E$10)/'W6'!$E$5*#REF!,0),(IF(AND(#REF!="Multi",#REF!="PY"),ROUND(#REF!*((1+#REF!)^2)/'W6'!$E$5*'W6'!$E$5,0),(IF(AND(#REF!&lt;&gt;"Multi",#REF!="FY"),ROUND(((1+#REF!)^('W6'!$B$20+2)*'W6'!$E$9+(1+#REF!)^('W6'!$B$20+3)*'W6'!$E$10)/'W6'!$E$5*#REF!,0),ROUND(#REF!*((1+#REF!)^2)/'W6'!$E$5*'W6'!$E$5,0)))))))))</f>
        <v>#REF!</v>
      </c>
      <c r="G351" s="300"/>
      <c r="H351" s="302" t="e">
        <f>IF('W6'!$F$5=0,"",IF($C$4=$D$4,(IF(AND(#REF!="Multi",#REF!="FY"),ROUND(((1+#REF!)^('W6'!$B$20+2)*'W6'!$F$9+(1+#REF!)^('W6'!$B$20+3)*'W6'!$F$10)/'W6'!$F$5*#REF!,0),(IF(AND(#REF!="Multi",#REF!="PY"),ROUND(#REF!*((1+#REF!)^3)/'W6'!$F$5*'W6'!$F$5,0),(IF(AND(#REF!&lt;&gt;"Multi",#REF!="FY"),ROUND(((1+#REF!)^('W6'!$B$20+2)*'W6'!$F$9+(1+#REF!)^('W6'!$B$20+3)*'W6'!$F$10)/'W6'!$F$5*#REF!,0),ROUND(#REF!*((1+#REF!)^3)/'W6'!$F$5*'W6'!$F$5,0))))))),(IF(AND(#REF!="Multi",#REF!="FY"),ROUND(((1+#REF!)^('W6'!$B$20+3)*'W6'!$F$9+(1+#REF!)^('W6'!$B$20+4)*'W6'!$F$10)/'W6'!$F$5*#REF!,0),(IF(AND(#REF!="Multi",#REF!="PY"),ROUND(#REF!*((1+#REF!)^3)/'W6'!$F$5*'W6'!$F$5,0),(IF(AND(#REF!&lt;&gt;"Multi",#REF!="FY"),ROUND(((1+#REF!)^('W6'!$B$20+3)*'W6'!$F$9+(1+#REF!)^('W6'!$B$20+4)*'W6'!$F$10)/'W6'!$F$5*#REF!,0),ROUND(#REF!*((1+#REF!)^3)/'W6'!$F$5*'W6'!$F$5,0)))))))))</f>
        <v>#REF!</v>
      </c>
      <c r="I351" s="300"/>
      <c r="J351" s="302" t="e">
        <f>IF('W6'!$G$5=0,"",IF($C$4=$D$4,(IF(AND(#REF!="Multi",#REF!="FY"),ROUND(((1+#REF!)^('W6'!$B$20+3)*'W6'!$G$9+(1+#REF!)^('W6'!$B$20+4)*'W6'!$G$10)/'W6'!$G$5*#REF!,0),(IF(AND(#REF!="Multi",#REF!="PY"),ROUND(#REF!*((1+#REF!)^4)/'W6'!$G$5*'W6'!$G$5,0),(IF(AND(#REF!&lt;&gt;"Multi",#REF!="FY"),ROUND(((1+#REF!)^('W6'!$B$20+3)*'W6'!$G$9+(1+#REF!)^('W6'!$B$20+4)*'W6'!$G$10)/'W6'!$G$5*#REF!,0),ROUND(#REF!*((1+#REF!)^4)/'W6'!$G$5*'W6'!$G$5,0))))))),(IF(AND(#REF!="Multi",#REF!="FY"),ROUND(((1+#REF!)^('W6'!$B$20+4)*'W6'!$G$9+(1+#REF!)^('W6'!$B$20+5)*'W6'!$G$10)/'W6'!$G$5*#REF!,0),(IF(AND(#REF!="Multi",#REF!="PY"),ROUND(#REF!*((1+#REF!)^4)/'W6'!$G$5*'W6'!$G$5,0),(IF(AND(#REF!&lt;&gt;"Multi",#REF!="FY"),ROUND(((1+#REF!)^('W6'!$B$20+4)*'W6'!$G$9+(1+#REF!)^('W6'!$B$20+5)*'W6'!$G$10)/'W6'!$G$5*#REF!,0),ROUND(#REF!*((1+#REF!)^4)/'W6'!$G$5*'W6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80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8" workbookViewId="0">
      <selection activeCell="F35" sqref="F35:L43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IF(#REF!='W7'!A86,'W7'!B86,IF(#REF!='W7'!A87,'W7'!B87,IF(#REF!='W7'!A88,'W7'!B88,IF(#REF!='W7'!A89,'W7'!B89,IF(#REF!='W7'!A90,'W7'!B90,IF(#REF!='W7'!A91,'W7'!B91))))))</f>
        <v>#REF!</v>
      </c>
      <c r="C97" s="37" t="e">
        <f>IF(#REF!='W7'!A86,'W7'!C86,IF(#REF!='W7'!A87,'W7'!C87,IF(#REF!='W7'!A88,'W7'!C88,IF(#REF!='W7'!A89,'W7'!C89,IF(#REF!='W7'!A90,'W7'!C90,IF(#REF!='W7'!A91,'W7'!C91))))))</f>
        <v>#REF!</v>
      </c>
      <c r="D97" s="37" t="e">
        <f>IF(#REF!='W7'!$A$86,'W7'!D86,IF(#REF!='W7'!$A$87,'W7'!D87,IF(#REF!='W7'!$A$88,'W7'!D88,IF(#REF!='W7'!$A$89,'W7'!D89,IF(#REF!='W7'!$A$90,'W7'!D90,IF(#REF!='W7'!$A$91,'W7'!D91))))))</f>
        <v>#REF!</v>
      </c>
      <c r="E97" s="37" t="e">
        <f>IF(#REF!='W7'!$A$86,'W7'!E86,IF(#REF!='W7'!$A$87,'W7'!E87,IF(#REF!='W7'!$A$88,'W7'!E88,IF(#REF!='W7'!$A$89,'W7'!E89,IF(#REF!='W7'!$A$90,'W7'!E90,IF(#REF!='W7'!$A$91,'W7'!E91))))))</f>
        <v>#REF!</v>
      </c>
      <c r="F97" s="37" t="e">
        <f>IF(#REF!='W7'!$A$86,'W7'!F86,IF(#REF!='W7'!$A$87,'W7'!F87,IF(#REF!='W7'!$A$88,'W7'!F88,IF(#REF!='W7'!$A$89,'W7'!F89,IF(#REF!='W7'!$A$90,'W7'!F90,IF(#REF!='W7'!$A$91,'W7'!F91))))))</f>
        <v>#REF!</v>
      </c>
      <c r="G97" s="37" t="e">
        <f>IF(#REF!='W7'!$A$86,'W7'!G86,IF(#REF!='W7'!$A$87,'W7'!G87,IF(#REF!='W7'!$A$88,'W7'!G88,IF(#REF!='W7'!$A$89,'W7'!G89,IF(#REF!='W7'!$A$90,'W7'!G90,IF(#REF!='W7'!$A$91,'W7'!G91))))))</f>
        <v>#REF!</v>
      </c>
      <c r="H97" s="37" t="e">
        <f>IF(#REF!='W7'!$A$86,'W7'!H86,IF(#REF!='W7'!$A$87,'W7'!H87,IF(#REF!='W7'!$A$88,'W7'!H88,IF(#REF!='W7'!$A$89,'W7'!H89,IF(#REF!='W7'!$A$90,'W7'!H90,IF(#REF!='W7'!$A$91,'W7'!H91))))))</f>
        <v>#REF!</v>
      </c>
      <c r="I97" s="37" t="e">
        <f>IF(#REF!='W7'!$A$86,'W7'!I86,IF(#REF!='W7'!$A$87,'W7'!I87,IF(#REF!='W7'!$A$88,'W7'!I88,IF(#REF!='W7'!$A$89,'W7'!I89,IF(#REF!='W7'!$A$90,'W7'!I90,IF(#REF!='W7'!$A$91,'W7'!I91))))))</f>
        <v>#REF!</v>
      </c>
      <c r="J97" s="37" t="e">
        <f>IF(#REF!='W7'!$A$86,'W7'!J86,IF(#REF!='W7'!$A$87,'W7'!J87,IF(#REF!='W7'!$A$88,'W7'!J88,IF(#REF!='W7'!$A$89,'W7'!J89,IF(#REF!='W7'!$A$90,'W7'!J90,IF(#REF!='W7'!$A$91,'W7'!J91))))))</f>
        <v>#REF!</v>
      </c>
      <c r="K97" s="37" t="e">
        <f>IF(#REF!='W7'!$A$86,'W7'!K86,IF(#REF!='W7'!$A$87,'W7'!K87,IF(#REF!='W7'!$A$88,'W7'!K88,IF(#REF!='W7'!$A$89,'W7'!K89,IF(#REF!='W7'!$A$90,'W7'!K90,IF(#REF!='W7'!$A$91,'W7'!K91))))))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#REF!+#REF!+#REF!+#REF!+SUM(#REF!)+SUM(#REF!)+'W7'!C136</f>
        <v>#REF!</v>
      </c>
      <c r="D157" s="41" t="e">
        <f>IF(D4="",0,(#REF!+#REF!+#REF!+#REF!+SUM(#REF!)+SUM(#REF!)+'W7'!D136))</f>
        <v>#REF!</v>
      </c>
      <c r="E157" s="41" t="e">
        <f>IF(E4="",0,(#REF!+#REF!+#REF!+#REF!+SUM(#REF!)+SUM(#REF!)+'W7'!E136))</f>
        <v>#REF!</v>
      </c>
      <c r="F157" s="41" t="e">
        <f>IF(F4="",0,(#REF!+#REF!+#REF!+#REF!+SUM(#REF!)+SUM(#REF!)+'W7'!F136))</f>
        <v>#REF!</v>
      </c>
      <c r="G157" s="41" t="e">
        <f>IF(G4="",0,(#REF!+#REF!+#REF!+#REF!+SUM(#REF!)+SUM(#REF!)+'W7'!G136))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#REF!-#REF!+'W7'!C154</f>
        <v>#REF!</v>
      </c>
      <c r="D158" s="42" t="e">
        <f>IF(D4="",0,(#REF!-#REF!+'W7'!D154))</f>
        <v>#REF!</v>
      </c>
      <c r="E158" s="42" t="e">
        <f>IF(E4="",0,(#REF!-#REF!+'W7'!E154))</f>
        <v>#REF!</v>
      </c>
      <c r="F158" s="42" t="e">
        <f>IF(F4="",0,(#REF!-#REF!+'W7'!F154))</f>
        <v>#REF!</v>
      </c>
      <c r="G158" s="42" t="e">
        <f>IF(G4="",0,(#REF!-#REF!+'W7'!G154))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ROUND((#REF!-#REF!+'W7'!C154)/(1-#REF!),0)</f>
        <v>#REF!</v>
      </c>
      <c r="D159" s="41" t="e">
        <f>IF(D4="",0,(ROUND((#REF!-#REF!+'W7'!D154)/(1-#REF!),0)))</f>
        <v>#REF!</v>
      </c>
      <c r="E159" s="41" t="e">
        <f>IF(E4="",0,(ROUND((#REF!-#REF!+'W7'!E154)/(1-#REF!),0)))</f>
        <v>#REF!</v>
      </c>
      <c r="F159" s="41" t="e">
        <f>IF(F4="",0,(ROUND((#REF!-#REF!+'W7'!F154)/(1-#REF!),0)))</f>
        <v>#REF!</v>
      </c>
      <c r="G159" s="41" t="e">
        <f>IF(G4="",0,(ROUND((#REF!-#REF!+'W7'!G154)/(1-#REF!),0)))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IF(C$5=0,0,IF(#REF!="AY",(E162*C$27+F162*C$28)/C$29,'W7'!E162))</f>
        <v>#REF!</v>
      </c>
      <c r="L162" s="112" t="e">
        <f>IF(D$5=0,0,IF(#REF!="AY",(F162*D$27+G162*D$28)/D$29,'W7'!F162))</f>
        <v>#REF!</v>
      </c>
      <c r="M162" s="112" t="e">
        <f>IF(E$5=0,0,IF(#REF!="AY",(G162*E$27+H162*E$28)/E$29,'W7'!G162))</f>
        <v>#REF!</v>
      </c>
      <c r="N162" s="112" t="e">
        <f>IF(F$5=0,0,IF(#REF!="AY",(H162*F$27+I162*F$28)/F$29,'W7'!H162))</f>
        <v>#REF!</v>
      </c>
      <c r="O162" s="112" t="e">
        <f>IF(G$5=0,0,IF(#REF!="AY",(I162*G$27+J162*G$28)/G$29,'W7'!I162))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IF(C$5=0,0,IF(#REF!="AY",(E163*C$27+F163*C$28)/C$29,'W7'!E163))</f>
        <v>#REF!</v>
      </c>
      <c r="L163" s="112" t="e">
        <f>IF(D$5=0,0,IF(#REF!="AY",(F163*D$27+G163*D$28)/D$29,'W7'!F163))</f>
        <v>#REF!</v>
      </c>
      <c r="M163" s="112" t="e">
        <f>IF(E$5=0,0,IF(#REF!="AY",(G163*E$27+H163*E$28)/E$29,'W7'!G163))</f>
        <v>#REF!</v>
      </c>
      <c r="N163" s="112" t="e">
        <f>IF(F$5=0,0,IF(#REF!="AY",(H163*F$27+I163*F$28)/F$29,'W7'!H163))</f>
        <v>#REF!</v>
      </c>
      <c r="O163" s="112" t="e">
        <f>IF(G$5=0,0,IF(#REF!="AY",(I163*G$27+J163*G$28)/G$29,'W7'!I163))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IF(C$5=0,0,IF(#REF!="AY",(E164*C$27+F164*C$28)/C$29,'W7'!E164))</f>
        <v>#REF!</v>
      </c>
      <c r="L164" s="112" t="e">
        <f>IF(D$5=0,0,IF(#REF!="AY",(F164*D$27+G164*D$28)/D$29,'W7'!F164))</f>
        <v>#REF!</v>
      </c>
      <c r="M164" s="112" t="e">
        <f>IF(E$5=0,0,IF(#REF!="AY",(G164*E$27+H164*E$28)/E$29,'W7'!G164))</f>
        <v>#REF!</v>
      </c>
      <c r="N164" s="112" t="e">
        <f>IF(F$5=0,0,IF(#REF!="AY",(H164*F$27+I164*F$28)/F$29,'W7'!H164))</f>
        <v>#REF!</v>
      </c>
      <c r="O164" s="112" t="e">
        <f>IF(G$5=0,0,IF(#REF!="AY",(I164*G$27+J164*G$28)/G$29,'W7'!I164))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IF(C$5=0,0,IF(#REF!="AY",(E165*C$27+F165*C$28)/C$29,'W7'!E165))</f>
        <v>#REF!</v>
      </c>
      <c r="L165" s="112" t="e">
        <f>IF(D$5=0,0,IF(#REF!="AY",(F165*D$27+G165*D$28)/D$29,'W7'!F165))</f>
        <v>#REF!</v>
      </c>
      <c r="M165" s="112" t="e">
        <f>IF(E$5=0,0,IF(#REF!="AY",(G165*E$27+H165*E$28)/E$29,'W7'!G165))</f>
        <v>#REF!</v>
      </c>
      <c r="N165" s="112" t="e">
        <f>IF(F$5=0,0,IF(#REF!="AY",(H165*F$27+I165*F$28)/F$29,'W7'!H165))</f>
        <v>#REF!</v>
      </c>
      <c r="O165" s="112" t="e">
        <f>IF(G$5=0,0,IF(#REF!="AY",(I165*G$27+J165*G$28)/G$29,'W7'!I165))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IF(C$5=0,0,IF(#REF!="AY",(E166*C$27+F166*C$28)/C$29,'W7'!E166))</f>
        <v>#REF!</v>
      </c>
      <c r="L166" s="112" t="e">
        <f>IF(D$5=0,0,IF(#REF!="AY",(F166*D$27+G166*D$28)/D$29,'W7'!F166))</f>
        <v>#REF!</v>
      </c>
      <c r="M166" s="112" t="e">
        <f>IF(E$5=0,0,IF(#REF!="AY",(G166*E$27+H166*E$28)/E$29,'W7'!G166))</f>
        <v>#REF!</v>
      </c>
      <c r="N166" s="112" t="e">
        <f>IF(F$5=0,0,IF(#REF!="AY",(H166*F$27+I166*F$28)/F$29,'W7'!H166))</f>
        <v>#REF!</v>
      </c>
      <c r="O166" s="112" t="e">
        <f>IF(G$5=0,0,IF(#REF!="AY",(I166*G$27+J166*G$28)/G$29,'W7'!I166))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IF(C$5=0,0,IF(#REF!="AY",(E167*C$27+F167*C$28)/C$29,'W7'!E167))</f>
        <v>#REF!</v>
      </c>
      <c r="L167" s="112" t="e">
        <f>IF(D$5=0,0,IF(#REF!="AY",(F167*D$27+G167*D$28)/D$29,'W7'!F167))</f>
        <v>#REF!</v>
      </c>
      <c r="M167" s="112" t="e">
        <f>IF(E$5=0,0,IF(#REF!="AY",(G167*E$27+H167*E$28)/E$29,'W7'!G167))</f>
        <v>#REF!</v>
      </c>
      <c r="N167" s="112" t="e">
        <f>IF(F$5=0,0,IF(#REF!="AY",(H167*F$27+I167*F$28)/F$29,'W7'!H167))</f>
        <v>#REF!</v>
      </c>
      <c r="O167" s="112" t="e">
        <f>IF(G$5=0,0,IF(#REF!="AY",(I167*G$27+J167*G$28)/G$29,'W7'!I167))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IF(C$5=0,0,IF(#REF!="AY",(E168*C$27+F168*C$28)/C$29,'W7'!E168))</f>
        <v>#REF!</v>
      </c>
      <c r="L168" s="112" t="e">
        <f>IF(D$5=0,0,IF(#REF!="AY",(F168*D$27+G168*D$28)/D$29,'W7'!F168))</f>
        <v>#REF!</v>
      </c>
      <c r="M168" s="112" t="e">
        <f>IF(E$5=0,0,IF(#REF!="AY",(G168*E$27+H168*E$28)/E$29,'W7'!G168))</f>
        <v>#REF!</v>
      </c>
      <c r="N168" s="112" t="e">
        <f>IF(F$5=0,0,IF(#REF!="AY",(H168*F$27+I168*F$28)/F$29,'W7'!H168))</f>
        <v>#REF!</v>
      </c>
      <c r="O168" s="112" t="e">
        <f>IF(G$5=0,0,IF(#REF!="AY",(I168*G$27+J168*G$28)/G$29,'W7'!I168))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IF(C$5=0,0,IF(#REF!="AY",(E169*C$27+F169*C$28)/C$29,'W7'!E169))</f>
        <v>#REF!</v>
      </c>
      <c r="L169" s="112" t="e">
        <f>IF(D$5=0,0,IF(#REF!="AY",(F169*D$27+G169*D$28)/D$29,'W7'!F169))</f>
        <v>#REF!</v>
      </c>
      <c r="M169" s="112" t="e">
        <f>IF(E$5=0,0,IF(#REF!="AY",(G169*E$27+H169*E$28)/E$29,'W7'!G169))</f>
        <v>#REF!</v>
      </c>
      <c r="N169" s="112" t="e">
        <f>IF(F$5=0,0,IF(#REF!="AY",(H169*F$27+I169*F$28)/F$29,'W7'!H169))</f>
        <v>#REF!</v>
      </c>
      <c r="O169" s="112" t="e">
        <f>IF(G$5=0,0,IF(#REF!="AY",(I169*G$27+J169*G$28)/G$29,'W7'!I169))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IF(C$5=0,0,IF(#REF!="AY",(E170*C$27+F170*C$28)/C$29,'W7'!E170))</f>
        <v>#REF!</v>
      </c>
      <c r="L170" s="112" t="e">
        <f>IF(D$5=0,0,IF(#REF!="AY",(F170*D$27+G170*D$28)/D$29,'W7'!F170))</f>
        <v>#REF!</v>
      </c>
      <c r="M170" s="112" t="e">
        <f>IF(E$5=0,0,IF(#REF!="AY",(G170*E$27+H170*E$28)/E$29,'W7'!G170))</f>
        <v>#REF!</v>
      </c>
      <c r="N170" s="112" t="e">
        <f>IF(F$5=0,0,IF(#REF!="AY",(H170*F$27+I170*F$28)/F$29,'W7'!H170))</f>
        <v>#REF!</v>
      </c>
      <c r="O170" s="112" t="e">
        <f>IF(G$5=0,0,IF(#REF!="AY",(I170*G$27+J170*G$28)/G$29,'W7'!I170))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IF(C$5=0,0,IF(#REF!="AY",(E171*C$27+F171*C$28)/C$29,'W7'!E171))</f>
        <v>#REF!</v>
      </c>
      <c r="L171" s="112" t="e">
        <f>IF(D$5=0,0,IF(#REF!="AY",(F171*D$27+G171*D$28)/D$29,'W7'!F171))</f>
        <v>#REF!</v>
      </c>
      <c r="M171" s="112" t="e">
        <f>IF(E$5=0,0,IF(#REF!="AY",(G171*E$27+H171*E$28)/E$29,'W7'!G171))</f>
        <v>#REF!</v>
      </c>
      <c r="N171" s="112" t="e">
        <f>IF(F$5=0,0,IF(#REF!="AY",(H171*F$27+I171*F$28)/F$29,'W7'!H171))</f>
        <v>#REF!</v>
      </c>
      <c r="O171" s="112" t="e">
        <f>IF(G$5=0,0,IF(#REF!="AY",(I171*G$27+J171*G$28)/G$29,'W7'!I171))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IF(C$5=0,0,IF(#REF!="AY",(E172*C$27+F172*C$28)/C$29,'W7'!E172))</f>
        <v>#REF!</v>
      </c>
      <c r="L172" s="112" t="e">
        <f>IF(D$5=0,0,IF(#REF!="AY",(F172*D$27+G172*D$28)/D$29,'W7'!F172))</f>
        <v>#REF!</v>
      </c>
      <c r="M172" s="112" t="e">
        <f>IF(E$5=0,0,IF(#REF!="AY",(G172*E$27+H172*E$28)/E$29,'W7'!G172))</f>
        <v>#REF!</v>
      </c>
      <c r="N172" s="112" t="e">
        <f>IF(F$5=0,0,IF(#REF!="AY",(H172*F$27+I172*F$28)/F$29,'W7'!H172))</f>
        <v>#REF!</v>
      </c>
      <c r="O172" s="112" t="e">
        <f>IF(G$5=0,0,IF(#REF!="AY",(I172*G$27+J172*G$28)/G$29,'W7'!I172))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IF(C$5=0,0,IF(#REF!="AY",(E173*C$27+F173*C$28)/C$29,'W7'!E173))</f>
        <v>#REF!</v>
      </c>
      <c r="L173" s="112" t="e">
        <f>IF(D$5=0,0,IF(#REF!="AY",(F173*D$27+G173*D$28)/D$29,'W7'!F173))</f>
        <v>#REF!</v>
      </c>
      <c r="M173" s="112" t="e">
        <f>IF(E$5=0,0,IF(#REF!="AY",(G173*E$27+H173*E$28)/E$29,'W7'!G173))</f>
        <v>#REF!</v>
      </c>
      <c r="N173" s="112" t="e">
        <f>IF(F$5=0,0,IF(#REF!="AY",(H173*F$27+I173*F$28)/F$29,'W7'!H173))</f>
        <v>#REF!</v>
      </c>
      <c r="O173" s="112" t="e">
        <f>IF(G$5=0,0,IF(#REF!="AY",(I173*G$27+J173*G$28)/G$29,'W7'!I173))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IF(#REF!="No",(#REF!*B177/12*#REF!),(#REF!*'W7'!B177))</f>
        <v>#REF!</v>
      </c>
      <c r="I177" s="70" t="e">
        <f>IF(#REF!="No",(#REF!*C177/12*#REF!),(#REF!*'W7'!C177))</f>
        <v>#REF!</v>
      </c>
      <c r="J177" s="70" t="e">
        <f>IF(#REF!="No",(#REF!*D177/12*#REF!),(#REF!*'W7'!D177))</f>
        <v>#REF!</v>
      </c>
      <c r="K177" s="70" t="e">
        <f>IF(#REF!="No",(#REF!*E177/12*#REF!),(#REF!*'W7'!E177))</f>
        <v>#REF!</v>
      </c>
      <c r="L177" s="70" t="e">
        <f>IF(#REF!="No",(#REF!*F177/12*#REF!),(#REF!*'W7'!F177))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IF(#REF!="No",(#REF!*B178/12*#REF!),(#REF!*'W7'!B178))</f>
        <v>#REF!</v>
      </c>
      <c r="I178" s="70" t="e">
        <f>IF(#REF!="No",(#REF!*C178/12*#REF!),(#REF!*'W7'!C178))</f>
        <v>#REF!</v>
      </c>
      <c r="J178" s="70" t="e">
        <f>IF(#REF!="No",(#REF!*D178/12*#REF!),(#REF!*'W7'!D178))</f>
        <v>#REF!</v>
      </c>
      <c r="K178" s="70" t="e">
        <f>IF(#REF!="No",(#REF!*E178/12*#REF!),(#REF!*'W7'!E178))</f>
        <v>#REF!</v>
      </c>
      <c r="L178" s="70" t="e">
        <f>IF(#REF!="No",(#REF!*F178/12*#REF!),(#REF!*'W7'!F178))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IF(#REF!="No",(#REF!*B179/12*#REF!),(#REF!*'W7'!B179))</f>
        <v>#REF!</v>
      </c>
      <c r="I179" s="70" t="e">
        <f>IF(#REF!="No",(#REF!*C179/12*#REF!),(#REF!*'W7'!C179))</f>
        <v>#REF!</v>
      </c>
      <c r="J179" s="70" t="e">
        <f>IF(#REF!="No",(#REF!*D179/12*#REF!),(#REF!*'W7'!D179))</f>
        <v>#REF!</v>
      </c>
      <c r="K179" s="70" t="e">
        <f>IF(#REF!="No",(#REF!*E179/12*#REF!),(#REF!*'W7'!E179))</f>
        <v>#REF!</v>
      </c>
      <c r="L179" s="70" t="e">
        <f>IF(#REF!="No",(#REF!*F179/12*#REF!),(#REF!*'W7'!F179))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IF(#REF!="No",(#REF!*B180/12*#REF!),(#REF!*'W7'!B180))</f>
        <v>#REF!</v>
      </c>
      <c r="I180" s="70" t="e">
        <f>IF(#REF!="No",(#REF!*C180/12*#REF!),(#REF!*'W7'!C180))</f>
        <v>#REF!</v>
      </c>
      <c r="J180" s="70" t="e">
        <f>IF(#REF!="No",(#REF!*D180/12*#REF!),(#REF!*'W7'!D180))</f>
        <v>#REF!</v>
      </c>
      <c r="K180" s="70" t="e">
        <f>IF(#REF!="No",(#REF!*E180/12*#REF!),(#REF!*'W7'!E180))</f>
        <v>#REF!</v>
      </c>
      <c r="L180" s="70" t="e">
        <f>IF(#REF!="No",(#REF!*F180/12*#REF!),(#REF!*'W7'!F180))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IF(#REF!="No",(#REF!*B181/12*#REF!),(#REF!*'W7'!B181))</f>
        <v>#REF!</v>
      </c>
      <c r="I181" s="70" t="e">
        <f>IF(#REF!="No",(#REF!*C181/12*#REF!),(#REF!*'W7'!C181))</f>
        <v>#REF!</v>
      </c>
      <c r="J181" s="70" t="e">
        <f>IF(#REF!="No",(#REF!*D181/12*#REF!),(#REF!*'W7'!D181))</f>
        <v>#REF!</v>
      </c>
      <c r="K181" s="70" t="e">
        <f>IF(#REF!="No",(#REF!*E181/12*#REF!),(#REF!*'W7'!E181))</f>
        <v>#REF!</v>
      </c>
      <c r="L181" s="70" t="e">
        <f>IF(#REF!="No",(#REF!*F181/12*#REF!),(#REF!*'W7'!F181))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IF(#REF!="No",(#REF!*B182/12*#REF!),(#REF!*'W7'!B182))</f>
        <v>#REF!</v>
      </c>
      <c r="I182" s="70" t="e">
        <f>IF(#REF!="No",(#REF!*C182/12*#REF!),(#REF!*'W7'!C182))</f>
        <v>#REF!</v>
      </c>
      <c r="J182" s="70" t="e">
        <f>IF(#REF!="No",(#REF!*D182/12*#REF!),(#REF!*'W7'!D182))</f>
        <v>#REF!</v>
      </c>
      <c r="K182" s="70" t="e">
        <f>IF(#REF!="No",(#REF!*E182/12*#REF!),(#REF!*'W7'!E182))</f>
        <v>#REF!</v>
      </c>
      <c r="L182" s="70" t="e">
        <f>IF(#REF!="No",(#REF!*F182/12*#REF!),(#REF!*'W7'!F182))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IF(#REF!="No",(#REF!*B183/12*#REF!),(#REF!*'W7'!B183))</f>
        <v>#REF!</v>
      </c>
      <c r="I183" s="70" t="e">
        <f>IF(#REF!="No",(#REF!*C183/12*#REF!),(#REF!*'W7'!C183))</f>
        <v>#REF!</v>
      </c>
      <c r="J183" s="70" t="e">
        <f>IF(#REF!="No",(#REF!*D183/12*#REF!),(#REF!*'W7'!D183))</f>
        <v>#REF!</v>
      </c>
      <c r="K183" s="70" t="e">
        <f>IF(#REF!="No",(#REF!*E183/12*#REF!),(#REF!*'W7'!E183))</f>
        <v>#REF!</v>
      </c>
      <c r="L183" s="70" t="e">
        <f>IF(#REF!="No",(#REF!*F183/12*#REF!),(#REF!*'W7'!F183))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IF(#REF!="No",(#REF!*B184/12*#REF!),(#REF!*'W7'!B184))</f>
        <v>#REF!</v>
      </c>
      <c r="I184" s="70" t="e">
        <f>IF(#REF!="No",(#REF!*C184/12*#REF!),(#REF!*'W7'!C184))</f>
        <v>#REF!</v>
      </c>
      <c r="J184" s="70" t="e">
        <f>IF(#REF!="No",(#REF!*D184/12*#REF!),(#REF!*'W7'!D184))</f>
        <v>#REF!</v>
      </c>
      <c r="K184" s="70" t="e">
        <f>IF(#REF!="No",(#REF!*E184/12*#REF!),(#REF!*'W7'!E184))</f>
        <v>#REF!</v>
      </c>
      <c r="L184" s="70" t="e">
        <f>IF(#REF!="No",(#REF!*F184/12*#REF!),(#REF!*'W7'!F184))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IF(#REF!="No",(#REF!*B185/12*#REF!),(#REF!*'W7'!B185))</f>
        <v>#REF!</v>
      </c>
      <c r="I185" s="70" t="e">
        <f>IF(#REF!="No",(#REF!*C185/12*#REF!),(#REF!*'W7'!C185))</f>
        <v>#REF!</v>
      </c>
      <c r="J185" s="70" t="e">
        <f>IF(#REF!="No",(#REF!*D185/12*#REF!),(#REF!*'W7'!D185))</f>
        <v>#REF!</v>
      </c>
      <c r="K185" s="70" t="e">
        <f>IF(#REF!="No",(#REF!*E185/12*#REF!),(#REF!*'W7'!E185))</f>
        <v>#REF!</v>
      </c>
      <c r="L185" s="70" t="e">
        <f>IF(#REF!="No",(#REF!*F185/12*#REF!),(#REF!*'W7'!F185))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IF(#REF!="No",(#REF!*B186/12*#REF!),(#REF!*'W7'!B186))</f>
        <v>#REF!</v>
      </c>
      <c r="I186" s="70" t="e">
        <f>IF(#REF!="No",(#REF!*C186/12*#REF!),(#REF!*'W7'!C186))</f>
        <v>#REF!</v>
      </c>
      <c r="J186" s="70" t="e">
        <f>IF(#REF!="No",(#REF!*D186/12*#REF!),(#REF!*'W7'!D186))</f>
        <v>#REF!</v>
      </c>
      <c r="K186" s="70" t="e">
        <f>IF(#REF!="No",(#REF!*E186/12*#REF!),(#REF!*'W7'!E186))</f>
        <v>#REF!</v>
      </c>
      <c r="L186" s="70" t="e">
        <f>IF(#REF!="No",(#REF!*F186/12*#REF!),(#REF!*'W7'!F186))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IF(#REF!="No",(#REF!*B187/12*#REF!),(#REF!*'W7'!B187))</f>
        <v>#REF!</v>
      </c>
      <c r="I187" s="70" t="e">
        <f>IF(#REF!="No",(#REF!*C187/12*#REF!),(#REF!*'W7'!C187))</f>
        <v>#REF!</v>
      </c>
      <c r="J187" s="70" t="e">
        <f>IF(#REF!="No",(#REF!*D187/12*#REF!),(#REF!*'W7'!D187))</f>
        <v>#REF!</v>
      </c>
      <c r="K187" s="70" t="e">
        <f>IF(#REF!="No",(#REF!*E187/12*#REF!),(#REF!*'W7'!E187))</f>
        <v>#REF!</v>
      </c>
      <c r="L187" s="70" t="e">
        <f>IF(#REF!="No",(#REF!*F187/12*#REF!),(#REF!*'W7'!F187))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IF(#REF!="No",(#REF!*B188/12*#REF!),(#REF!*'W7'!B188))</f>
        <v>#REF!</v>
      </c>
      <c r="I188" s="70" t="e">
        <f>IF(#REF!="No",(#REF!*C188/12*#REF!),(#REF!*'W7'!C188))</f>
        <v>#REF!</v>
      </c>
      <c r="J188" s="70" t="e">
        <f>IF(#REF!="No",(#REF!*D188/12*#REF!),(#REF!*'W7'!D188))</f>
        <v>#REF!</v>
      </c>
      <c r="K188" s="70" t="e">
        <f>IF(#REF!="No",(#REF!*E188/12*#REF!),(#REF!*'W7'!E188))</f>
        <v>#REF!</v>
      </c>
      <c r="L188" s="70" t="e">
        <f>IF(#REF!="No",(#REF!*F188/12*#REF!),(#REF!*'W7'!F188))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IF(#REF!="No",(#REF!*B189/12*#REF!),(#REF!*'W7'!B189))</f>
        <v>#REF!</v>
      </c>
      <c r="I189" s="70" t="e">
        <f>IF(#REF!="No",(#REF!*C189/12*#REF!),(#REF!*'W7'!C189))</f>
        <v>#REF!</v>
      </c>
      <c r="J189" s="70" t="e">
        <f>IF(#REF!="No",(#REF!*D189/12*#REF!),(#REF!*'W7'!D189))</f>
        <v>#REF!</v>
      </c>
      <c r="K189" s="70" t="e">
        <f>IF(#REF!="No",(#REF!*E189/12*#REF!),(#REF!*'W7'!E189))</f>
        <v>#REF!</v>
      </c>
      <c r="L189" s="70" t="e">
        <f>IF(#REF!="No",(#REF!*F189/12*#REF!),(#REF!*'W7'!F189))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IF(#REF!="No",(#REF!*B190/12*#REF!),(#REF!*'W7'!B190))</f>
        <v>#REF!</v>
      </c>
      <c r="I190" s="70" t="e">
        <f>IF(#REF!="No",(#REF!*C190/12*#REF!),(#REF!*'W7'!C190))</f>
        <v>#REF!</v>
      </c>
      <c r="J190" s="70" t="e">
        <f>IF(#REF!="No",(#REF!*D190/12*#REF!),(#REF!*'W7'!D190))</f>
        <v>#REF!</v>
      </c>
      <c r="K190" s="70" t="e">
        <f>IF(#REF!="No",(#REF!*E190/12*#REF!),(#REF!*'W7'!E190))</f>
        <v>#REF!</v>
      </c>
      <c r="L190" s="70" t="e">
        <f>IF(#REF!="No",(#REF!*F190/12*#REF!),(#REF!*'W7'!F190))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IF(#REF!="No",(#REF!*B191/12*#REF!),(#REF!*'W7'!B191))</f>
        <v>#REF!</v>
      </c>
      <c r="I191" s="70" t="e">
        <f>IF(#REF!="No",(#REF!*C191/12*#REF!),(#REF!*'W7'!C191))</f>
        <v>#REF!</v>
      </c>
      <c r="J191" s="70" t="e">
        <f>IF(#REF!="No",(#REF!*D191/12*#REF!),(#REF!*'W7'!D191))</f>
        <v>#REF!</v>
      </c>
      <c r="K191" s="70" t="e">
        <f>IF(#REF!="No",(#REF!*E191/12*#REF!),(#REF!*'W7'!E191))</f>
        <v>#REF!</v>
      </c>
      <c r="L191" s="70" t="e">
        <f>IF(#REF!="No",(#REF!*F191/12*#REF!),(#REF!*'W7'!F191))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IF(#REF!="No",(#REF!*B192/12*#REF!),(#REF!*'W7'!B192))</f>
        <v>#REF!</v>
      </c>
      <c r="I192" s="70" t="e">
        <f>IF(#REF!="No",(#REF!*C192/12*#REF!),(#REF!*'W7'!C192))</f>
        <v>#REF!</v>
      </c>
      <c r="J192" s="70" t="e">
        <f>IF(#REF!="No",(#REF!*D192/12*#REF!),(#REF!*'W7'!D192))</f>
        <v>#REF!</v>
      </c>
      <c r="K192" s="70" t="e">
        <f>IF(#REF!="No",(#REF!*E192/12*#REF!),(#REF!*'W7'!E192))</f>
        <v>#REF!</v>
      </c>
      <c r="L192" s="70" t="e">
        <f>IF(#REF!="No",(#REF!*F192/12*#REF!),(#REF!*'W7'!F192))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IF(#REF!="No",(#REF!*B193/12*#REF!),(#REF!*'W7'!B193))</f>
        <v>#REF!</v>
      </c>
      <c r="I193" s="70" t="e">
        <f>IF(#REF!="No",(#REF!*C193/12*#REF!),(#REF!*'W7'!C193))</f>
        <v>#REF!</v>
      </c>
      <c r="J193" s="70" t="e">
        <f>IF(#REF!="No",(#REF!*D193/12*#REF!),(#REF!*'W7'!D193))</f>
        <v>#REF!</v>
      </c>
      <c r="K193" s="70" t="e">
        <f>IF(#REF!="No",(#REF!*E193/12*#REF!),(#REF!*'W7'!E193))</f>
        <v>#REF!</v>
      </c>
      <c r="L193" s="70" t="e">
        <f>IF(#REF!="No",(#REF!*F193/12*#REF!),(#REF!*'W7'!F193))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IF(#REF!="No",(#REF!*B194/12*#REF!),(#REF!*'W7'!B194))</f>
        <v>#REF!</v>
      </c>
      <c r="I194" s="70" t="e">
        <f>IF(#REF!="No",(#REF!*C194/12*#REF!),(#REF!*'W7'!C194))</f>
        <v>#REF!</v>
      </c>
      <c r="J194" s="70" t="e">
        <f>IF(#REF!="No",(#REF!*D194/12*#REF!),(#REF!*'W7'!D194))</f>
        <v>#REF!</v>
      </c>
      <c r="K194" s="70" t="e">
        <f>IF(#REF!="No",(#REF!*E194/12*#REF!),(#REF!*'W7'!E194))</f>
        <v>#REF!</v>
      </c>
      <c r="L194" s="70" t="e">
        <f>IF(#REF!="No",(#REF!*F194/12*#REF!),(#REF!*'W7'!F194))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IF(#REF!="No",(#REF!*B195/12*#REF!),(#REF!*'W7'!B195))</f>
        <v>#REF!</v>
      </c>
      <c r="I195" s="70" t="e">
        <f>IF(#REF!="No",(#REF!*C195/12*#REF!),(#REF!*'W7'!C195))</f>
        <v>#REF!</v>
      </c>
      <c r="J195" s="70" t="e">
        <f>IF(#REF!="No",(#REF!*D195/12*#REF!),(#REF!*'W7'!D195))</f>
        <v>#REF!</v>
      </c>
      <c r="K195" s="70" t="e">
        <f>IF(#REF!="No",(#REF!*E195/12*#REF!),(#REF!*'W7'!E195))</f>
        <v>#REF!</v>
      </c>
      <c r="L195" s="70" t="e">
        <f>IF(#REF!="No",(#REF!*F195/12*#REF!),(#REF!*'W7'!F195))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IF(#REF!="No",(#REF!*B196/12*#REF!),(#REF!*'W7'!B196))</f>
        <v>#REF!</v>
      </c>
      <c r="I196" s="70" t="e">
        <f>IF(#REF!="No",(#REF!*C196/12*#REF!),(#REF!*'W7'!C196))</f>
        <v>#REF!</v>
      </c>
      <c r="J196" s="70" t="e">
        <f>IF(#REF!="No",(#REF!*D196/12*#REF!),(#REF!*'W7'!D196))</f>
        <v>#REF!</v>
      </c>
      <c r="K196" s="70" t="e">
        <f>IF(#REF!="No",(#REF!*E196/12*#REF!),(#REF!*'W7'!E196))</f>
        <v>#REF!</v>
      </c>
      <c r="L196" s="70" t="e">
        <f>IF(#REF!="No",(#REF!*F196/12*#REF!),(#REF!*'W7'!F196))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IF(#REF!="No",(#REF!*B197/12*#REF!),(#REF!*'W7'!B197))</f>
        <v>#REF!</v>
      </c>
      <c r="I197" s="70" t="e">
        <f>IF(#REF!="No",(#REF!*C197/12*#REF!),(#REF!*'W7'!C197))</f>
        <v>#REF!</v>
      </c>
      <c r="J197" s="70" t="e">
        <f>IF(#REF!="No",(#REF!*D197/12*#REF!),(#REF!*'W7'!D197))</f>
        <v>#REF!</v>
      </c>
      <c r="K197" s="70" t="e">
        <f>IF(#REF!="No",(#REF!*E197/12*#REF!),(#REF!*'W7'!E197))</f>
        <v>#REF!</v>
      </c>
      <c r="L197" s="70" t="e">
        <f>IF(#REF!="No",(#REF!*F197/12*#REF!),(#REF!*'W7'!F197))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IF(#REF!="No",(#REF!*B198/12*#REF!),(#REF!*'W7'!B198))</f>
        <v>#REF!</v>
      </c>
      <c r="I198" s="70" t="e">
        <f>IF(#REF!="No",(#REF!*C198/12*#REF!),(#REF!*'W7'!C198))</f>
        <v>#REF!</v>
      </c>
      <c r="J198" s="70" t="e">
        <f>IF(#REF!="No",(#REF!*D198/12*#REF!),(#REF!*'W7'!D198))</f>
        <v>#REF!</v>
      </c>
      <c r="K198" s="70" t="e">
        <f>IF(#REF!="No",(#REF!*E198/12*#REF!),(#REF!*'W7'!E198))</f>
        <v>#REF!</v>
      </c>
      <c r="L198" s="70" t="e">
        <f>IF(#REF!="No",(#REF!*F198/12*#REF!),(#REF!*'W7'!F198))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IF(#REF!="No",(#REF!*B199/12*#REF!),(#REF!*'W7'!B199))</f>
        <v>#REF!</v>
      </c>
      <c r="I199" s="70" t="e">
        <f>IF(#REF!="No",(#REF!*C199/12*#REF!),(#REF!*'W7'!C199))</f>
        <v>#REF!</v>
      </c>
      <c r="J199" s="70" t="e">
        <f>IF(#REF!="No",(#REF!*D199/12*#REF!),(#REF!*'W7'!D199))</f>
        <v>#REF!</v>
      </c>
      <c r="K199" s="70" t="e">
        <f>IF(#REF!="No",(#REF!*E199/12*#REF!),(#REF!*'W7'!E199))</f>
        <v>#REF!</v>
      </c>
      <c r="L199" s="70" t="e">
        <f>IF(#REF!="No",(#REF!*F199/12*#REF!),(#REF!*'W7'!F199))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IF(#REF!="No",(#REF!*B200/12*#REF!),(#REF!*'W7'!B200))</f>
        <v>#REF!</v>
      </c>
      <c r="I200" s="70" t="e">
        <f>IF(#REF!="No",(#REF!*C200/12*#REF!),(#REF!*'W7'!C200))</f>
        <v>#REF!</v>
      </c>
      <c r="J200" s="70" t="e">
        <f>IF(#REF!="No",(#REF!*D200/12*#REF!),(#REF!*'W7'!D200))</f>
        <v>#REF!</v>
      </c>
      <c r="K200" s="70" t="e">
        <f>IF(#REF!="No",(#REF!*E200/12*#REF!),(#REF!*'W7'!E200))</f>
        <v>#REF!</v>
      </c>
      <c r="L200" s="70" t="e">
        <f>IF(#REF!="No",(#REF!*F200/12*#REF!),(#REF!*'W7'!F200))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ROUND(#REF!/'W7'!H177*'W7'!B248*'W7'!$B$247+#REF!/'W7'!H177*'W7'!C248*'W7'!C247,0)</f>
        <v>#REF!</v>
      </c>
      <c r="C301" s="300"/>
      <c r="D301" s="302" t="e">
        <f>ROUND(#REF!/(D248+E248)*'W7'!D248*'W7'!D$247+#REF!/(D248+E248)*'W7'!E248*'W7'!E$247,0)</f>
        <v>#REF!</v>
      </c>
      <c r="E301" s="300"/>
      <c r="F301" s="302" t="e">
        <f>ROUND(#REF!/(F248+G248)*'W7'!F248*'W7'!F$247+#REF!/(F248+G248)*'W7'!G248*'W7'!G$247,0)</f>
        <v>#REF!</v>
      </c>
      <c r="G301" s="300"/>
      <c r="H301" s="302" t="e">
        <f>ROUND(#REF!/(H248+I248)*'W7'!H248*'W7'!H$247+#REF!/(H248+I248)*'W7'!I248*'W7'!I$247,0)</f>
        <v>#REF!</v>
      </c>
      <c r="I301" s="300"/>
      <c r="J301" s="302" t="e">
        <f>IF(J275=0,"",ROUND(#REF!/(J248+K248)*'W7'!J248*'W7'!J$247+#REF!/(J248+K248)*'W7'!K248*'W7'!K$247,0))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ROUND(#REF!/'W7'!H178*'W7'!B249*'W7'!$B$247+#REF!/'W7'!H178*'W7'!C249*'W7'!$C$247,0)</f>
        <v>#REF!</v>
      </c>
      <c r="C302" s="300"/>
      <c r="D302" s="302" t="e">
        <f>ROUND(#REF!/(D249+E249)*'W7'!D249*'W7'!D$247+#REF!/(D249+E249)*'W7'!E249*'W7'!E$247,0)</f>
        <v>#REF!</v>
      </c>
      <c r="E302" s="300"/>
      <c r="F302" s="302" t="e">
        <f>ROUND(#REF!/(F249+G249)*'W7'!F249*'W7'!F$247+#REF!/(F249+G249)*'W7'!G249*'W7'!G$247,0)</f>
        <v>#REF!</v>
      </c>
      <c r="G302" s="300"/>
      <c r="H302" s="302" t="e">
        <f>ROUND(#REF!/(H249+I249)*'W7'!H249*'W7'!H$247+#REF!/(H249+I249)*'W7'!I249*'W7'!I$247,0)</f>
        <v>#REF!</v>
      </c>
      <c r="I302" s="300"/>
      <c r="J302" s="302" t="e">
        <f>IF(J276=0,"",ROUND(#REF!/(J249+K249)*'W7'!J249*'W7'!J$247+#REF!/(J249+K249)*'W7'!K249*'W7'!K$247,0))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ROUND(#REF!/'W7'!H179*'W7'!B250*'W7'!$B$247+#REF!/'W7'!H179*'W7'!C250*'W7'!$C$247,0)</f>
        <v>#REF!</v>
      </c>
      <c r="C303" s="300"/>
      <c r="D303" s="302" t="e">
        <f>ROUND(#REF!/(D250+E250)*'W7'!D250*'W7'!D$247+#REF!/(D250+E250)*'W7'!E250*'W7'!E$247,0)</f>
        <v>#REF!</v>
      </c>
      <c r="E303" s="300"/>
      <c r="F303" s="302" t="e">
        <f>ROUND(#REF!/(F250+G250)*'W7'!F250*'W7'!F$247+#REF!/(F250+G250)*'W7'!G250*'W7'!G$247,0)</f>
        <v>#REF!</v>
      </c>
      <c r="G303" s="300"/>
      <c r="H303" s="302" t="e">
        <f>ROUND(#REF!/(H250+I250)*'W7'!H250*'W7'!H$247+#REF!/(H250+I250)*'W7'!I250*'W7'!I$247,0)</f>
        <v>#REF!</v>
      </c>
      <c r="I303" s="300"/>
      <c r="J303" s="302" t="e">
        <f>IF(J277=0,"",ROUND(#REF!/(J250+K250)*'W7'!J250*'W7'!J$247+#REF!/(J250+K250)*'W7'!K250*'W7'!K$247,0))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ROUND(#REF!/'W7'!H180*'W7'!B251*'W7'!$B$247+#REF!/'W7'!H180*'W7'!C251*'W7'!$C$247,0)</f>
        <v>#REF!</v>
      </c>
      <c r="C304" s="300"/>
      <c r="D304" s="302" t="e">
        <f>ROUND(#REF!/(D251+E251)*'W7'!D251*'W7'!D$247+#REF!/(D251+E251)*'W7'!E251*'W7'!E$247,0)</f>
        <v>#REF!</v>
      </c>
      <c r="E304" s="300"/>
      <c r="F304" s="302" t="e">
        <f>ROUND(#REF!/(F251+G251)*'W7'!F251*'W7'!F$247+#REF!/(F251+G251)*'W7'!G251*'W7'!G$247,0)</f>
        <v>#REF!</v>
      </c>
      <c r="G304" s="300"/>
      <c r="H304" s="302" t="e">
        <f>ROUND(#REF!/(H251+I251)*'W7'!H251*'W7'!H$247+#REF!/(H251+I251)*'W7'!I251*'W7'!I$247,0)</f>
        <v>#REF!</v>
      </c>
      <c r="I304" s="300"/>
      <c r="J304" s="302" t="e">
        <f>IF(J278=0,"",ROUND(#REF!/(J251+K251)*'W7'!J251*'W7'!J$247+#REF!/(J251+K251)*'W7'!K251*'W7'!K$247,0))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IF((B252+C252)&lt;&gt;0,ROUND(#REF!/'W7'!H181*'W7'!B252*'W7'!$B$247+#REF!/'W7'!H181*'W7'!C252*'W7'!$C$247,0),0)</f>
        <v>#REF!</v>
      </c>
      <c r="C305" s="300"/>
      <c r="D305" s="302" t="e">
        <f>ROUND(#REF!/(D252+E252)*'W7'!D252*'W7'!D$247+#REF!/(D252+E252)*'W7'!E252*'W7'!E$247,0)</f>
        <v>#REF!</v>
      </c>
      <c r="E305" s="300"/>
      <c r="F305" s="302" t="e">
        <f>ROUND(#REF!/(F252+G252)*'W7'!F252*'W7'!F$247+#REF!/(F252+G252)*'W7'!G252*'W7'!G$247,0)</f>
        <v>#REF!</v>
      </c>
      <c r="G305" s="300"/>
      <c r="H305" s="302" t="e">
        <f>ROUND(#REF!/(H252+I252)*'W7'!H252*'W7'!H$247+#REF!/(H252+I252)*'W7'!I252*'W7'!I$247,0)</f>
        <v>#REF!</v>
      </c>
      <c r="I305" s="300"/>
      <c r="J305" s="302" t="e">
        <f>IF(J279=0,"",ROUND(#REF!/(J252+K252)*'W7'!J252*'W7'!J$247+#REF!/(J252+K252)*'W7'!K252*'W7'!K$247,0))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IF((B253+C253)&lt;&gt;0,ROUND(#REF!/'W7'!H182*'W7'!B253*'W7'!$B$247+#REF!/'W7'!H182*'W7'!C253*'W7'!$C$247,0),0)</f>
        <v>#REF!</v>
      </c>
      <c r="C306" s="300"/>
      <c r="D306" s="302" t="e">
        <f>ROUND(#REF!/(D253+E253)*'W7'!D253*'W7'!D$247+#REF!/(D253+E253)*'W7'!E253*'W7'!E$247,0)</f>
        <v>#REF!</v>
      </c>
      <c r="E306" s="300"/>
      <c r="F306" s="302" t="e">
        <f>ROUND(#REF!/(F253+G253)*'W7'!F253*'W7'!F$247+#REF!/(F253+G253)*'W7'!G253*'W7'!G$247,0)</f>
        <v>#REF!</v>
      </c>
      <c r="G306" s="300"/>
      <c r="H306" s="302" t="e">
        <f>ROUND(#REF!/(H253+I253)*'W7'!H253*'W7'!H$247+#REF!/(H253+I253)*'W7'!I253*'W7'!I$247,0)</f>
        <v>#REF!</v>
      </c>
      <c r="I306" s="300"/>
      <c r="J306" s="302" t="e">
        <f>IF(J280=0,"",ROUND(#REF!/(J253+K253)*'W7'!J253*'W7'!J$247+#REF!/(J253+K253)*'W7'!K253*'W7'!K$247,0))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IF((B254+C254)&lt;&gt;0,ROUND(#REF!/'W7'!H183*'W7'!B254*'W7'!$B$247+#REF!/'W7'!H183*'W7'!C254*'W7'!$C$247,0),0)</f>
        <v>#REF!</v>
      </c>
      <c r="C307" s="300"/>
      <c r="D307" s="302" t="e">
        <f>ROUND(#REF!/(D254+E254)*'W7'!D254*'W7'!D$247+#REF!/(D254+E254)*'W7'!E254*'W7'!E$247,0)</f>
        <v>#REF!</v>
      </c>
      <c r="E307" s="300"/>
      <c r="F307" s="302" t="e">
        <f>ROUND(#REF!/(F254+G254)*'W7'!F254*'W7'!F$247+#REF!/(F254+G254)*'W7'!G254*'W7'!G$247,0)</f>
        <v>#REF!</v>
      </c>
      <c r="G307" s="300"/>
      <c r="H307" s="302" t="e">
        <f>ROUND(#REF!/(H254+I254)*'W7'!H254*'W7'!H$247+#REF!/(H254+I254)*'W7'!I254*'W7'!I$247,0)</f>
        <v>#REF!</v>
      </c>
      <c r="I307" s="300"/>
      <c r="J307" s="302" t="e">
        <f>IF(J281=0,"",ROUND(#REF!/(J254+K254)*'W7'!J254*'W7'!J$247+#REF!/(J254+K254)*'W7'!K254*'W7'!K$247,0))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IF((B255+C255)&lt;&gt;0,ROUND(#REF!/'W7'!H184*'W7'!B255*'W7'!$B$247+#REF!/'W7'!H184*'W7'!C255*'W7'!$C$247,0),0)</f>
        <v>#REF!</v>
      </c>
      <c r="C308" s="300"/>
      <c r="D308" s="302" t="e">
        <f>ROUND(#REF!/(D255+E255)*'W7'!D255*'W7'!D$247+#REF!/(D255+E255)*'W7'!E255*'W7'!E$247,0)</f>
        <v>#REF!</v>
      </c>
      <c r="E308" s="300"/>
      <c r="F308" s="302" t="e">
        <f>ROUND(#REF!/(F255+G255)*'W7'!F255*'W7'!F$247+#REF!/(F255+G255)*'W7'!G255*'W7'!G$247,0)</f>
        <v>#REF!</v>
      </c>
      <c r="G308" s="300"/>
      <c r="H308" s="302" t="e">
        <f>ROUND(#REF!/(H255+I255)*'W7'!H255*'W7'!H$247+#REF!/(H255+I255)*'W7'!I255*'W7'!I$247,0)</f>
        <v>#REF!</v>
      </c>
      <c r="I308" s="300"/>
      <c r="J308" s="302" t="e">
        <f>IF(J282=0,"",ROUND(#REF!/(J255+K255)*'W7'!J255*'W7'!J$247+#REF!/(J255+K255)*'W7'!K255*'W7'!K$247,0))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IF((B256+C256)&lt;&gt;0,ROUND(#REF!/'W7'!H185*'W7'!B256*'W7'!$B$247+#REF!/'W7'!H185*'W7'!C256*'W7'!$C$247,0),0)</f>
        <v>#REF!</v>
      </c>
      <c r="C309" s="300"/>
      <c r="D309" s="302" t="e">
        <f>ROUND(#REF!/(D256+E256)*'W7'!D256*'W7'!D$247+#REF!/(D256+E256)*'W7'!E256*'W7'!E$247,0)</f>
        <v>#REF!</v>
      </c>
      <c r="E309" s="300"/>
      <c r="F309" s="302" t="e">
        <f>ROUND(#REF!/(F256+G256)*'W7'!F256*'W7'!F$247+#REF!/(F256+G256)*'W7'!G256*'W7'!G$247,0)</f>
        <v>#REF!</v>
      </c>
      <c r="G309" s="300"/>
      <c r="H309" s="302" t="e">
        <f>ROUND(#REF!/(H256+I256)*'W7'!H256*'W7'!H$247+#REF!/(H256+I256)*'W7'!I256*'W7'!I$247,0)</f>
        <v>#REF!</v>
      </c>
      <c r="I309" s="300"/>
      <c r="J309" s="302" t="e">
        <f>IF(J283=0,"",ROUND(#REF!/(J256+K256)*'W7'!J256*'W7'!J$247+#REF!/(J256+K256)*'W7'!K256*'W7'!K$247,0))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IF((B257+C257)&lt;&gt;0,ROUND(#REF!/'W7'!H186*'W7'!B257*'W7'!$B$247+#REF!/'W7'!H186*'W7'!C257*'W7'!$C$247,0),0)</f>
        <v>#REF!</v>
      </c>
      <c r="C310" s="300"/>
      <c r="D310" s="302" t="e">
        <f>ROUND(#REF!/(D257+E257)*'W7'!D257*'W7'!D$247+#REF!/(D257+E257)*'W7'!E257*'W7'!E$247,0)</f>
        <v>#REF!</v>
      </c>
      <c r="E310" s="300"/>
      <c r="F310" s="302" t="e">
        <f>ROUND(#REF!/(F257+G257)*'W7'!F257*'W7'!F$247+#REF!/(F257+G257)*'W7'!G257*'W7'!G$247,0)</f>
        <v>#REF!</v>
      </c>
      <c r="G310" s="300"/>
      <c r="H310" s="302" t="e">
        <f>ROUND(#REF!/(H257+I257)*'W7'!H257*'W7'!H$247+#REF!/(H257+I257)*'W7'!I257*'W7'!I$247,0)</f>
        <v>#REF!</v>
      </c>
      <c r="I310" s="300"/>
      <c r="J310" s="302" t="e">
        <f>IF(J284=0,"",ROUND(#REF!/(J257+K257)*'W7'!J257*'W7'!J$247+#REF!/(J257+K257)*'W7'!K257*'W7'!K$247,0))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IF((B258+C258)&lt;&gt;0,ROUND(#REF!/'W7'!H187*'W7'!B258*'W7'!$B$247+#REF!/'W7'!H187*'W7'!C258*'W7'!$C$247,0),0)</f>
        <v>#REF!</v>
      </c>
      <c r="C311" s="300"/>
      <c r="D311" s="302" t="e">
        <f>ROUND(#REF!/(D258+E258)*'W7'!D258*'W7'!D$247+#REF!/(D258+E258)*'W7'!E258*'W7'!E$247,0)</f>
        <v>#REF!</v>
      </c>
      <c r="E311" s="300"/>
      <c r="F311" s="302" t="e">
        <f>ROUND(#REF!/(F258+G258)*'W7'!F258*'W7'!F$247+#REF!/(F258+G258)*'W7'!G258*'W7'!G$247,0)</f>
        <v>#REF!</v>
      </c>
      <c r="G311" s="300"/>
      <c r="H311" s="302" t="e">
        <f>ROUND(#REF!/(H258+I258)*'W7'!H258*'W7'!H$247+#REF!/(H258+I258)*'W7'!I258*'W7'!I$247,0)</f>
        <v>#REF!</v>
      </c>
      <c r="I311" s="300"/>
      <c r="J311" s="302" t="e">
        <f>IF(J285=0,"",ROUND(#REF!/(J258+K258)*'W7'!J258*'W7'!J$247+#REF!/(J258+K258)*'W7'!K258*'W7'!K$247,0))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IF((B259+C259)&lt;&gt;0,ROUND(#REF!/'W7'!H188*'W7'!B259*'W7'!$B$247+#REF!/'W7'!H188*'W7'!C259*'W7'!$C$247,0),0)</f>
        <v>#REF!</v>
      </c>
      <c r="C312" s="300"/>
      <c r="D312" s="302" t="e">
        <f>ROUND(#REF!/(D259+E259)*'W7'!D259*'W7'!D$247+#REF!/(D259+E259)*'W7'!E259*'W7'!E$247,0)</f>
        <v>#REF!</v>
      </c>
      <c r="E312" s="300"/>
      <c r="F312" s="302" t="e">
        <f>ROUND(#REF!/(F259+G259)*'W7'!F259*'W7'!F$247+#REF!/(F259+G259)*'W7'!G259*'W7'!G$247,0)</f>
        <v>#REF!</v>
      </c>
      <c r="G312" s="300"/>
      <c r="H312" s="302" t="e">
        <f>ROUND(#REF!/(H259+I259)*'W7'!H259*'W7'!H$247+#REF!/(H259+I259)*'W7'!I259*'W7'!I$247,0)</f>
        <v>#REF!</v>
      </c>
      <c r="I312" s="300"/>
      <c r="J312" s="302" t="e">
        <f>IF(J286=0,"",ROUND(#REF!/(J259+K259)*'W7'!J259*'W7'!J$247+#REF!/(J259+K259)*'W7'!K259*'W7'!K$247,0))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IF((B260+C260)&lt;&gt;0,ROUND(#REF!/'W7'!H189*'W7'!B260*'W7'!$B$247+#REF!/'W7'!H189*'W7'!C260*'W7'!$C$247,0),0)</f>
        <v>#REF!</v>
      </c>
      <c r="C313" s="300"/>
      <c r="D313" s="302" t="e">
        <f>ROUND(#REF!/(D260+E260)*'W7'!D260*'W7'!D$247+#REF!/(D260+E260)*'W7'!E260*'W7'!E$247,0)</f>
        <v>#REF!</v>
      </c>
      <c r="E313" s="300"/>
      <c r="F313" s="302" t="e">
        <f>ROUND(#REF!/(F260+G260)*'W7'!F260*'W7'!F$247+#REF!/(F260+G260)*'W7'!G260*'W7'!G$247,0)</f>
        <v>#REF!</v>
      </c>
      <c r="G313" s="300"/>
      <c r="H313" s="302" t="e">
        <f>ROUND(#REF!/(H260+I260)*'W7'!H260*'W7'!H$247+#REF!/(H260+I260)*'W7'!I260*'W7'!I$247,0)</f>
        <v>#REF!</v>
      </c>
      <c r="I313" s="300"/>
      <c r="J313" s="302" t="e">
        <f>IF(J287=0,"",ROUND(#REF!/(J260+K260)*'W7'!J260*'W7'!J$247+#REF!/(J260+K260)*'W7'!K260*'W7'!K$247,0))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IF((B261+C261)&lt;&gt;0,ROUND(#REF!/'W7'!H190*'W7'!B261*'W7'!$B$247+#REF!/'W7'!H190*'W7'!C261*'W7'!$C$247,0),0)</f>
        <v>#REF!</v>
      </c>
      <c r="C314" s="300"/>
      <c r="D314" s="302" t="e">
        <f>ROUND(#REF!/(D261+E261)*'W7'!D261*'W7'!D$247+#REF!/(D261+E261)*'W7'!E261*'W7'!E$247,0)</f>
        <v>#REF!</v>
      </c>
      <c r="E314" s="300"/>
      <c r="F314" s="302" t="e">
        <f>ROUND(#REF!/(F261+G261)*'W7'!F261*'W7'!F$247+#REF!/(F261+G261)*'W7'!G261*'W7'!G$247,0)</f>
        <v>#REF!</v>
      </c>
      <c r="G314" s="300"/>
      <c r="H314" s="302" t="e">
        <f>ROUND(#REF!/(H261+I261)*'W7'!H261*'W7'!H$247+#REF!/(H261+I261)*'W7'!I261*'W7'!I$247,0)</f>
        <v>#REF!</v>
      </c>
      <c r="I314" s="300"/>
      <c r="J314" s="302" t="e">
        <f>IF(J288=0,"",ROUND(#REF!/(J261+K261)*'W7'!J261*'W7'!J$247+#REF!/(J261+K261)*'W7'!K261*'W7'!K$247,0))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IF((B262+C262)&lt;&gt;0,ROUND(#REF!/'W7'!H191*'W7'!B262*'W7'!$B$247+#REF!/'W7'!H191*'W7'!C262*'W7'!$C$247,0),0)</f>
        <v>#REF!</v>
      </c>
      <c r="C315" s="300"/>
      <c r="D315" s="302" t="e">
        <f>ROUND(#REF!/(D262+E262)*'W7'!D262*'W7'!D$247+#REF!/(D262+E262)*'W7'!E262*'W7'!E$247,0)</f>
        <v>#REF!</v>
      </c>
      <c r="E315" s="300"/>
      <c r="F315" s="302" t="e">
        <f>ROUND(#REF!/(F262+G262)*'W7'!F262*'W7'!F$247+#REF!/(F262+G262)*'W7'!G262*'W7'!G$247,0)</f>
        <v>#REF!</v>
      </c>
      <c r="G315" s="300"/>
      <c r="H315" s="302" t="e">
        <f>ROUND(#REF!/(H262+I262)*'W7'!H262*'W7'!H$247+#REF!/(H262+I262)*'W7'!I262*'W7'!I$247,0)</f>
        <v>#REF!</v>
      </c>
      <c r="I315" s="300"/>
      <c r="J315" s="302" t="e">
        <f>IF(J289=0,"",ROUND(#REF!/(J262+K262)*'W7'!J262*'W7'!J$247+#REF!/(J262+K262)*'W7'!K262*'W7'!K$247,0))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IF((B263+C263)&lt;&gt;0,ROUND(#REF!/'W7'!H192*'W7'!B263*'W7'!$B$247+#REF!/'W7'!H192*'W7'!C263*'W7'!$C$247,0),0)</f>
        <v>#REF!</v>
      </c>
      <c r="C316" s="300"/>
      <c r="D316" s="302" t="e">
        <f>ROUND(#REF!/(D263+E263)*'W7'!D263*'W7'!D$247+#REF!/(D263+E263)*'W7'!E263*'W7'!E$247,0)</f>
        <v>#REF!</v>
      </c>
      <c r="E316" s="300"/>
      <c r="F316" s="302" t="e">
        <f>ROUND(#REF!/(F263+G263)*'W7'!F263*'W7'!F$247+#REF!/(F263+G263)*'W7'!G263*'W7'!G$247,0)</f>
        <v>#REF!</v>
      </c>
      <c r="G316" s="300"/>
      <c r="H316" s="302" t="e">
        <f>ROUND(#REF!/(H263+I263)*'W7'!H263*'W7'!H$247+#REF!/(H263+I263)*'W7'!I263*'W7'!I$247,0)</f>
        <v>#REF!</v>
      </c>
      <c r="I316" s="300"/>
      <c r="J316" s="302" t="e">
        <f>IF(J290=0,"",ROUND(#REF!/(J263+K263)*'W7'!J263*'W7'!J$247+#REF!/(J263+K263)*'W7'!K263*'W7'!K$247,0))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IF((B264+C264)&lt;&gt;0,ROUND(#REF!/'W7'!H193*'W7'!B264*'W7'!$B$247+#REF!/'W7'!H193*'W7'!C264*'W7'!$C$247,0),0)</f>
        <v>#REF!</v>
      </c>
      <c r="C317" s="300"/>
      <c r="D317" s="302" t="e">
        <f>ROUND(#REF!/(D264+E264)*'W7'!D264*'W7'!D$247+#REF!/(D264+E264)*'W7'!E264*'W7'!E$247,0)</f>
        <v>#REF!</v>
      </c>
      <c r="E317" s="300"/>
      <c r="F317" s="302" t="e">
        <f>ROUND(#REF!/(F264+G264)*'W7'!F264*'W7'!F$247+#REF!/(F264+G264)*'W7'!G264*'W7'!G$247,0)</f>
        <v>#REF!</v>
      </c>
      <c r="G317" s="300"/>
      <c r="H317" s="302" t="e">
        <f>ROUND(#REF!/(H264+I264)*'W7'!H264*'W7'!H$247+#REF!/(H264+I264)*'W7'!I264*'W7'!I$247,0)</f>
        <v>#REF!</v>
      </c>
      <c r="I317" s="300"/>
      <c r="J317" s="302" t="e">
        <f>IF(J291=0,"",ROUND(#REF!/(J264+K264)*'W7'!J264*'W7'!J$247+#REF!/(J264+K264)*'W7'!K264*'W7'!K$247,0))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IF((B265+C265)&lt;&gt;0,ROUND(#REF!/'W7'!H194*'W7'!B265*'W7'!$B$247+#REF!/'W7'!H194*'W7'!C265*'W7'!$C$247,0),0)</f>
        <v>#REF!</v>
      </c>
      <c r="C318" s="300"/>
      <c r="D318" s="302" t="e">
        <f>ROUND(#REF!/(D265+E265)*'W7'!D265*'W7'!D$247+#REF!/(D265+E265)*'W7'!E265*'W7'!E$247,0)</f>
        <v>#REF!</v>
      </c>
      <c r="E318" s="300"/>
      <c r="F318" s="302" t="e">
        <f>ROUND(#REF!/(F265+G265)*'W7'!F265*'W7'!F$247+#REF!/(F265+G265)*'W7'!G265*'W7'!G$247,0)</f>
        <v>#REF!</v>
      </c>
      <c r="G318" s="300"/>
      <c r="H318" s="302" t="e">
        <f>ROUND(#REF!/(H265+I265)*'W7'!H265*'W7'!H$247+#REF!/(H265+I265)*'W7'!I265*'W7'!I$247,0)</f>
        <v>#REF!</v>
      </c>
      <c r="I318" s="300"/>
      <c r="J318" s="302" t="e">
        <f>IF(J292=0,"",ROUND(#REF!/(J265+K265)*'W7'!J265*'W7'!J$247+#REF!/(J265+K265)*'W7'!K265*'W7'!K$247,0))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IF((B266+C266)&lt;&gt;0,ROUND(#REF!/'W7'!H195*'W7'!B266*'W7'!$B$247+#REF!/'W7'!H195*'W7'!C266*'W7'!$C$247,0),0)</f>
        <v>#REF!</v>
      </c>
      <c r="C319" s="300"/>
      <c r="D319" s="302" t="e">
        <f>ROUND(#REF!/(D266+E266)*'W7'!D266*'W7'!D$247+#REF!/(D266+E266)*'W7'!E266*'W7'!E$247,0)</f>
        <v>#REF!</v>
      </c>
      <c r="E319" s="300"/>
      <c r="F319" s="302" t="e">
        <f>ROUND(#REF!/(F266+G266)*'W7'!F266*'W7'!F$247+#REF!/(F266+G266)*'W7'!G266*'W7'!G$247,0)</f>
        <v>#REF!</v>
      </c>
      <c r="G319" s="300"/>
      <c r="H319" s="302" t="e">
        <f>ROUND(#REF!/(H266+I266)*'W7'!H266*'W7'!H$247+#REF!/(H266+I266)*'W7'!I266*'W7'!I$247,0)</f>
        <v>#REF!</v>
      </c>
      <c r="I319" s="300"/>
      <c r="J319" s="302" t="e">
        <f>IF(J293=0,"",ROUND(#REF!/(J266+K266)*'W7'!J266*'W7'!J$247+#REF!/(J266+K266)*'W7'!K266*'W7'!K$247,0))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IF((B267+C267)&lt;&gt;0,ROUND(#REF!/'W7'!H196*'W7'!B267*'W7'!$B$247+#REF!/'W7'!H196*'W7'!C267*'W7'!$C$247,0),0)</f>
        <v>#REF!</v>
      </c>
      <c r="C320" s="300"/>
      <c r="D320" s="302" t="e">
        <f>ROUND(#REF!/(D267+E267)*'W7'!D267*'W7'!D$247+#REF!/(D267+E267)*'W7'!E267*'W7'!E$247,0)</f>
        <v>#REF!</v>
      </c>
      <c r="E320" s="300"/>
      <c r="F320" s="302" t="e">
        <f>ROUND(#REF!/(F267+G267)*'W7'!F267*'W7'!F$247+#REF!/(F267+G267)*'W7'!G267*'W7'!G$247,0)</f>
        <v>#REF!</v>
      </c>
      <c r="G320" s="300"/>
      <c r="H320" s="302" t="e">
        <f>ROUND(#REF!/(H267+I267)*'W7'!H267*'W7'!H$247+#REF!/(H267+I267)*'W7'!I267*'W7'!I$247,0)</f>
        <v>#REF!</v>
      </c>
      <c r="I320" s="300"/>
      <c r="J320" s="302" t="e">
        <f>IF(J294=0,"",ROUND(#REF!/(J267+K267)*'W7'!J267*'W7'!J$247+#REF!/(J267+K267)*'W7'!K267*'W7'!K$247,0))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IF((B268+C268)&lt;&gt;0,ROUND(#REF!/'W7'!H197*'W7'!B268*'W7'!$B$247+#REF!/'W7'!H197*'W7'!C268*'W7'!$C$247,0),0)</f>
        <v>#REF!</v>
      </c>
      <c r="C321" s="300"/>
      <c r="D321" s="302" t="e">
        <f>ROUND(#REF!/(D268+E268)*'W7'!D268*'W7'!D$247+#REF!/(D268+E268)*'W7'!E268*'W7'!E$247,0)</f>
        <v>#REF!</v>
      </c>
      <c r="E321" s="300"/>
      <c r="F321" s="302" t="e">
        <f>ROUND(#REF!/(F268+G268)*'W7'!F268*'W7'!F$247+#REF!/(F268+G268)*'W7'!G268*'W7'!G$247,0)</f>
        <v>#REF!</v>
      </c>
      <c r="G321" s="300"/>
      <c r="H321" s="302" t="e">
        <f>ROUND(#REF!/(H268+I268)*'W7'!H268*'W7'!H$247+#REF!/(H268+I268)*'W7'!I268*'W7'!I$247,0)</f>
        <v>#REF!</v>
      </c>
      <c r="I321" s="300"/>
      <c r="J321" s="302" t="e">
        <f>IF(J295=0,"",ROUND(#REF!/(J268+K268)*'W7'!J268*'W7'!J$247+#REF!/(J268+K268)*'W7'!K268*'W7'!K$247,0))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IF((B269+C269)&lt;&gt;0,ROUND(#REF!/'W7'!H198*'W7'!B269*'W7'!$B$247+#REF!/'W7'!H198*'W7'!C269*'W7'!$C$247,0),0)</f>
        <v>#REF!</v>
      </c>
      <c r="C322" s="300"/>
      <c r="D322" s="302" t="e">
        <f>ROUND(#REF!/(D269+E269)*'W7'!D269*'W7'!D$247+#REF!/(D269+E269)*'W7'!E269*'W7'!E$247,0)</f>
        <v>#REF!</v>
      </c>
      <c r="E322" s="300"/>
      <c r="F322" s="302" t="e">
        <f>ROUND(#REF!/(F269+G269)*'W7'!F269*'W7'!F$247+#REF!/(F269+G269)*'W7'!G269*'W7'!G$247,0)</f>
        <v>#REF!</v>
      </c>
      <c r="G322" s="300"/>
      <c r="H322" s="302" t="e">
        <f>ROUND(#REF!/(H269+I269)*'W7'!H269*'W7'!H$247+#REF!/(H269+I269)*'W7'!I269*'W7'!I$247,0)</f>
        <v>#REF!</v>
      </c>
      <c r="I322" s="300"/>
      <c r="J322" s="302" t="e">
        <f>IF(J296=0,"",ROUND(#REF!/(J269+K269)*'W7'!J269*'W7'!J$247+#REF!/(J269+K269)*'W7'!K269*'W7'!K$247,0))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IF((B270+C270)&lt;&gt;0,ROUND(#REF!/'W7'!H199*'W7'!B270*'W7'!$B$247+#REF!/'W7'!H199*'W7'!C270*'W7'!$C$247,0),0)</f>
        <v>#REF!</v>
      </c>
      <c r="C323" s="300"/>
      <c r="D323" s="302" t="e">
        <f>ROUND(#REF!/(D270+E270)*'W7'!D270*'W7'!D$247+#REF!/(D270+E270)*'W7'!E270*'W7'!E$247,0)</f>
        <v>#REF!</v>
      </c>
      <c r="E323" s="300"/>
      <c r="F323" s="302" t="e">
        <f>ROUND(#REF!/(F270+G270)*'W7'!F270*'W7'!F$247+#REF!/(F270+G270)*'W7'!G270*'W7'!G$247,0)</f>
        <v>#REF!</v>
      </c>
      <c r="G323" s="300"/>
      <c r="H323" s="302" t="e">
        <f>ROUND(#REF!/(H270+I270)*'W7'!H270*'W7'!H$247+#REF!/(H270+I270)*'W7'!I270*'W7'!I$247,0)</f>
        <v>#REF!</v>
      </c>
      <c r="I323" s="300"/>
      <c r="J323" s="302" t="e">
        <f>IF(J297=0,"",ROUND(#REF!/(J270+K270)*'W7'!J270*'W7'!J$247+#REF!/(J270+K270)*'W7'!K270*'W7'!K$247,0))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IF((B271+C271)&lt;&gt;0,ROUND(#REF!/'W7'!H200*'W7'!B271*'W7'!$B$247+#REF!/'W7'!H200*'W7'!C271*'W7'!$C$247,0),0)</f>
        <v>#REF!</v>
      </c>
      <c r="C324" s="300"/>
      <c r="D324" s="302" t="e">
        <f>ROUND(#REF!/(D271+E271)*'W7'!D271*'W7'!D$247+#REF!/(D271+E271)*'W7'!E271*'W7'!E$247,0)</f>
        <v>#REF!</v>
      </c>
      <c r="E324" s="300"/>
      <c r="F324" s="302" t="e">
        <f>ROUND(#REF!/(F271+G271)*'W7'!F271*'W7'!F$247+#REF!/(F271+G271)*'W7'!G271*'W7'!G$247,0)</f>
        <v>#REF!</v>
      </c>
      <c r="G324" s="300"/>
      <c r="H324" s="302" t="e">
        <f>ROUND(#REF!/(H271+I271)*'W7'!H271*'W7'!H$247+#REF!/(H271+I271)*'W7'!I271*'W7'!I$247,0)</f>
        <v>#REF!</v>
      </c>
      <c r="I324" s="300"/>
      <c r="J324" s="302" t="e">
        <f>IF(J298=0,"",ROUND(#REF!/(J271+K271)*'W7'!J271*'W7'!J$247+#REF!/(J271+K271)*'W7'!K271*'W7'!K$247,0))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28" s="300"/>
      <c r="D328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28" s="300"/>
      <c r="F328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28" s="300"/>
      <c r="H328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28" s="300"/>
      <c r="J328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29" s="300"/>
      <c r="D329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29" s="300"/>
      <c r="F329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29" s="300"/>
      <c r="H329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29" s="300"/>
      <c r="J329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0" s="300"/>
      <c r="D330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0" s="300"/>
      <c r="F330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0" s="300"/>
      <c r="H330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0" s="300"/>
      <c r="J330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1" s="300"/>
      <c r="D331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1" s="300"/>
      <c r="F331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1" s="300"/>
      <c r="H331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1" s="300"/>
      <c r="J331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2" s="300"/>
      <c r="D332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2" s="300"/>
      <c r="F332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2" s="300"/>
      <c r="H332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2" s="300"/>
      <c r="J332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3" s="300"/>
      <c r="D333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3" s="300"/>
      <c r="F333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3" s="300"/>
      <c r="H333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3" s="300"/>
      <c r="J333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4" s="300"/>
      <c r="D334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4" s="300"/>
      <c r="F334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4" s="300"/>
      <c r="H334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4" s="300"/>
      <c r="J334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5" s="300"/>
      <c r="D335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5" s="300"/>
      <c r="F335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5" s="300"/>
      <c r="H335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5" s="300"/>
      <c r="J335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6" s="300"/>
      <c r="D336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6" s="300"/>
      <c r="F336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6" s="300"/>
      <c r="H336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6" s="300"/>
      <c r="J336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7" s="300"/>
      <c r="D337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7" s="300"/>
      <c r="F337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7" s="300"/>
      <c r="H337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7" s="300"/>
      <c r="J337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8" s="300"/>
      <c r="D338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8" s="300"/>
      <c r="F338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8" s="300"/>
      <c r="H338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8" s="300"/>
      <c r="J338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39" s="300"/>
      <c r="D339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39" s="300"/>
      <c r="F339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39" s="300"/>
      <c r="H339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39" s="300"/>
      <c r="J339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0" s="300"/>
      <c r="D340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0" s="300"/>
      <c r="F340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0" s="300"/>
      <c r="H340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0" s="300"/>
      <c r="J340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1" s="300"/>
      <c r="D341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1" s="300"/>
      <c r="F341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1" s="300"/>
      <c r="H341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1" s="300"/>
      <c r="J341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2" s="300"/>
      <c r="D342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2" s="300"/>
      <c r="F342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2" s="300"/>
      <c r="H342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2" s="300"/>
      <c r="J342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3" s="300"/>
      <c r="D343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3" s="300"/>
      <c r="F343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3" s="300"/>
      <c r="H343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3" s="300"/>
      <c r="J343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4" s="300"/>
      <c r="D344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4" s="300"/>
      <c r="F344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4" s="300"/>
      <c r="H344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4" s="300"/>
      <c r="J344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5" s="300"/>
      <c r="D345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5" s="300"/>
      <c r="F345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5" s="300"/>
      <c r="H345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5" s="300"/>
      <c r="J345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6" s="300"/>
      <c r="D346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6" s="300"/>
      <c r="F346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6" s="300"/>
      <c r="H346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6" s="300"/>
      <c r="J346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7" s="300"/>
      <c r="D347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7" s="300"/>
      <c r="F347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7" s="300"/>
      <c r="H347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7" s="300"/>
      <c r="J347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8" s="300"/>
      <c r="D348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8" s="300"/>
      <c r="F348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8" s="300"/>
      <c r="H348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8" s="300"/>
      <c r="J348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49" s="300"/>
      <c r="D349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49" s="300"/>
      <c r="F349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49" s="300"/>
      <c r="H349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49" s="300"/>
      <c r="J349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50" s="300"/>
      <c r="D350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50" s="300"/>
      <c r="F350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50" s="300"/>
      <c r="H350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50" s="300"/>
      <c r="J350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7'!$C$5=0,"",IF(AND(#REF!="Multi",#REF!="FY"),ROUND(((1+#REF!)^'W7'!$B$20*'W7'!$C$9+(1+#REF!)^('W7'!$B$20+1)*'W7'!$C$10)/('W7'!$C$5)*#REF!,0),(IF(AND(#REF!="Multi",#REF!="PY"),ROUND(#REF!/('W7'!$C$5)*'W7'!$C$5,0),(IF(AND(#REF!&lt;&gt;"Multi",#REF!="FY"),ROUND(((1+#REF!)^'W7'!$B$20*'W7'!$C$9+(1+#REF!)^('W7'!$B$20+1)*'W7'!$C$10)/'W7'!$C$5*#REF!,0),ROUND(#REF!/'W7'!$C$5*'W7'!$C$5,0)))))))</f>
        <v>#REF!</v>
      </c>
      <c r="C351" s="300"/>
      <c r="D351" s="302" t="e">
        <f>IF('W7'!$D$5=0,"",IF($C$4=$D$4,(IF(AND(#REF!="Multi",#REF!="FY"),ROUND(((1+#REF!)^('W7'!$B$20)*'W7'!$D$9+(1+#REF!)^('W7'!$B$20+1)*'W7'!$D$10)/'W7'!$D$5*#REF!,0),(IF(AND(#REF!="Multi",#REF!="PY"),ROUND(#REF!*(1+#REF!)/'W7'!$D$5*'W7'!$D$5,0),(IF(AND(#REF!&lt;&gt;"Multi",#REF!="FY"),ROUND(((1+#REF!)^('W7'!$B$20)*'W7'!$D$9+(1+#REF!)^('W7'!$B$20+1)*'W7'!$D$10)/'W7'!$D$5*#REF!,0),ROUND(#REF!*(1+#REF!)/'W7'!$D$5*'W7'!$D$5,0))))))),(IF(AND(#REF!="Multi",#REF!="FY"),ROUND(((1+#REF!)^('W7'!$B$20+1)*'W7'!$D$9+(1+#REF!)^('W7'!$B$20+2)*'W7'!$D$10)/'W7'!$D$5*#REF!,0),(IF(AND(#REF!="Multi",#REF!="PY"),ROUND(#REF!*(1+#REF!)/'W7'!$D$5*'W7'!$D$5,0),(IF(AND(#REF!&lt;&gt;"Multi",#REF!="FY"),ROUND(((1+#REF!)^('W7'!$B$20+1)*'W7'!$D$9+(1+#REF!)^('W7'!$B$20+2)*'W7'!$D$10)/'W7'!$D$5*#REF!,0),ROUND(#REF!*(1+#REF!)/'W7'!$D$5*'W7'!$D$5,0)))))))))</f>
        <v>#REF!</v>
      </c>
      <c r="E351" s="300"/>
      <c r="F351" s="302" t="e">
        <f>IF('W7'!$E$5=0,"",IF($C$4=$D$4,(IF(AND(#REF!="Multi",#REF!="FY"),ROUND(((1+#REF!)^('W7'!$B$20+1)*'W7'!$E$9+(1+#REF!)^('W7'!$B$20+3)*'W7'!$E$10)/'W7'!$E$5*#REF!,0),(IF(AND(#REF!="Multi",#REF!="PY"),ROUND(#REF!*((1+#REF!)^2)/'W7'!$E$5*'W7'!$E$5,0),(IF(AND(#REF!&lt;&gt;"Multi",#REF!="FY"),ROUND(((1+#REF!)^('W7'!$B$20+1)*'W7'!$E$9+(1+#REF!)^('W7'!$B$20+2)*'W7'!$E$10)/'W7'!$E$5*#REF!,0),ROUND(#REF!*((1+#REF!)^2)/'W7'!$E$5*'W7'!$E$5,0))))))),(IF(AND(#REF!="Multi",#REF!="FY"),ROUND(((1+#REF!)^('W7'!$B$20+2)*'W7'!$E$9+(1+#REF!)^('W7'!$B$20+3)*'W7'!$E$10)/'W7'!$E$5*#REF!,0),(IF(AND(#REF!="Multi",#REF!="PY"),ROUND(#REF!*((1+#REF!)^2)/'W7'!$E$5*'W7'!$E$5,0),(IF(AND(#REF!&lt;&gt;"Multi",#REF!="FY"),ROUND(((1+#REF!)^('W7'!$B$20+2)*'W7'!$E$9+(1+#REF!)^('W7'!$B$20+3)*'W7'!$E$10)/'W7'!$E$5*#REF!,0),ROUND(#REF!*((1+#REF!)^2)/'W7'!$E$5*'W7'!$E$5,0)))))))))</f>
        <v>#REF!</v>
      </c>
      <c r="G351" s="300"/>
      <c r="H351" s="302" t="e">
        <f>IF('W7'!$F$5=0,"",IF($C$4=$D$4,(IF(AND(#REF!="Multi",#REF!="FY"),ROUND(((1+#REF!)^('W7'!$B$20+2)*'W7'!$F$9+(1+#REF!)^('W7'!$B$20+3)*'W7'!$F$10)/'W7'!$F$5*#REF!,0),(IF(AND(#REF!="Multi",#REF!="PY"),ROUND(#REF!*((1+#REF!)^3)/'W7'!$F$5*'W7'!$F$5,0),(IF(AND(#REF!&lt;&gt;"Multi",#REF!="FY"),ROUND(((1+#REF!)^('W7'!$B$20+2)*'W7'!$F$9+(1+#REF!)^('W7'!$B$20+3)*'W7'!$F$10)/'W7'!$F$5*#REF!,0),ROUND(#REF!*((1+#REF!)^3)/'W7'!$F$5*'W7'!$F$5,0))))))),(IF(AND(#REF!="Multi",#REF!="FY"),ROUND(((1+#REF!)^('W7'!$B$20+3)*'W7'!$F$9+(1+#REF!)^('W7'!$B$20+4)*'W7'!$F$10)/'W7'!$F$5*#REF!,0),(IF(AND(#REF!="Multi",#REF!="PY"),ROUND(#REF!*((1+#REF!)^3)/'W7'!$F$5*'W7'!$F$5,0),(IF(AND(#REF!&lt;&gt;"Multi",#REF!="FY"),ROUND(((1+#REF!)^('W7'!$B$20+3)*'W7'!$F$9+(1+#REF!)^('W7'!$B$20+4)*'W7'!$F$10)/'W7'!$F$5*#REF!,0),ROUND(#REF!*((1+#REF!)^3)/'W7'!$F$5*'W7'!$F$5,0)))))))))</f>
        <v>#REF!</v>
      </c>
      <c r="I351" s="300"/>
      <c r="J351" s="302" t="e">
        <f>IF('W7'!$G$5=0,"",IF($C$4=$D$4,(IF(AND(#REF!="Multi",#REF!="FY"),ROUND(((1+#REF!)^('W7'!$B$20+3)*'W7'!$G$9+(1+#REF!)^('W7'!$B$20+4)*'W7'!$G$10)/'W7'!$G$5*#REF!,0),(IF(AND(#REF!="Multi",#REF!="PY"),ROUND(#REF!*((1+#REF!)^4)/'W7'!$G$5*'W7'!$G$5,0),(IF(AND(#REF!&lt;&gt;"Multi",#REF!="FY"),ROUND(((1+#REF!)^('W7'!$B$20+3)*'W7'!$G$9+(1+#REF!)^('W7'!$B$20+4)*'W7'!$G$10)/'W7'!$G$5*#REF!,0),ROUND(#REF!*((1+#REF!)^4)/'W7'!$G$5*'W7'!$G$5,0))))))),(IF(AND(#REF!="Multi",#REF!="FY"),ROUND(((1+#REF!)^('W7'!$B$20+4)*'W7'!$G$9+(1+#REF!)^('W7'!$B$20+5)*'W7'!$G$10)/'W7'!$G$5*#REF!,0),(IF(AND(#REF!="Multi",#REF!="PY"),ROUND(#REF!*((1+#REF!)^4)/'W7'!$G$5*'W7'!$G$5,0),(IF(AND(#REF!&lt;&gt;"Multi",#REF!="FY"),ROUND(((1+#REF!)^('W7'!$B$20+4)*'W7'!$G$9+(1+#REF!)^('W7'!$B$20+5)*'W7'!$G$10)/'W7'!$G$5*#REF!,0),ROUND(#REF!*((1+#REF!)^4)/'W7'!$G$5*'W7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79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5" workbookViewId="0">
      <selection activeCell="E38" sqref="E38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 t="e">
        <f>IF(#REF!="0 Months",0,IF(#REF!="1 month",1,IF(#REF!="2 months",2,IF(#REF!="3 months",3,IF(#REF!="4 months",4,IF(#REF!="5 months",5,IF(#REF!="6 months",6,IF(#REF!="7 months",7,IF(#REF!="8 months",8,IF(#REF!="9 months",9,IF(#REF!="10 months",10,IF(#REF!="11 months",11,IF(#REF!="12 months",12,0)))))))))))))</f>
        <v>#REF!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 t="e">
        <f>#REF!</f>
        <v>#REF!</v>
      </c>
      <c r="C2" s="5" t="e">
        <f>B2</f>
        <v>#REF!</v>
      </c>
      <c r="D2" s="5" t="e">
        <f>IF(C3&lt;B3,DATE(YEAR(C3),MONTH(C3),DAY(C3)+1),"")</f>
        <v>#REF!</v>
      </c>
      <c r="E2" s="5" t="e">
        <f>IF($D$3&lt;$B$3,DATE(YEAR(D3),MONTH(D3),DAY(D3)+1),"")</f>
        <v>#REF!</v>
      </c>
      <c r="F2" s="5" t="e">
        <f>IF(AND($D$3&lt;$B$3,$E3&lt;$B$3),DATE(YEAR(E3),MONTH(E3),DAY(E3)+1),"")</f>
        <v>#REF!</v>
      </c>
      <c r="G2" s="5" t="e">
        <f>IF(AND($D$3&lt;$B$3,$E3&lt;$B$3,F3&lt;B3),DATE(YEAR(F3),MONTH(F3),DAY(F3)+1),"")</f>
        <v>#REF!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 t="e">
        <f>#REF!</f>
        <v>#REF!</v>
      </c>
      <c r="C3" s="5" t="e">
        <f>IF(B5&lt;C1,B3,(DATE(YEAR(C2),MONTH(C2)+C1,DAY(C2)-1)))</f>
        <v>#REF!</v>
      </c>
      <c r="D3" s="5" t="e">
        <f>IF(C3=B3,"",IF((DATE(YEAR(D2)+1,MONTH(D2),DAY(D2)-1))&gt;$B$3,$B$3,(DATE(YEAR(D2)+1,MONTH(D2),DAY(D2)-1))))</f>
        <v>#REF!</v>
      </c>
      <c r="E3" s="5" t="e">
        <f>IF(C3=B3,"",IF(D3=B3,"",IF((DATE(YEAR(E2)+1,MONTH(E2),DAY(E2)-1))&gt;$B$3,$B$3,(DATE(YEAR(E2)+1,MONTH(E2),DAY(E2)-1)))))</f>
        <v>#REF!</v>
      </c>
      <c r="F3" s="5" t="e">
        <f>IF($B$3=$C$3,"",IF($D$3=$B$3,"",IF($E$3=$B$3,"",IF((DATE(YEAR(F2)+1,MONTH(F2),DAY(F2)-1))&gt;$B$3,$B$3,(DATE(YEAR(F2)+1,MONTH(F2),DAY(F2)-1))))))</f>
        <v>#REF!</v>
      </c>
      <c r="G3" s="5" t="e">
        <f>IF($B$3=$C$3,"",IF($D$3=$B$3,"",IF($E$3=$B$3,"",IF($F3=B3,"",IF((DATE(YEAR(G2)+1,MONTH(G2),DAY(G2)-1))&gt;$B$3,$B$3,(DATE(YEAR(G2)+1,MONTH(G2),DAY(G2)-1)))))))</f>
        <v>#REF!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e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#REF!</v>
      </c>
      <c r="C4" s="258" t="e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#REF!</v>
      </c>
      <c r="D4" s="258" t="e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#REF!</v>
      </c>
      <c r="E4" s="258" t="e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#REF!</v>
      </c>
      <c r="F4" s="258" t="e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#REF!</v>
      </c>
      <c r="G4" s="258" t="e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#REF!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 t="e">
        <f>ROUND(YEARFRAC(B2,(DATE(YEAR(B3),MONTH(B3),DAY(B3)+1)),0)*12,1)</f>
        <v>#REF!</v>
      </c>
      <c r="C5" s="15" t="e">
        <f>IF(C4="","",ROUND(YEARFRAC(C2,(DATE(YEAR(C3),MONTH(C3),DAY(C3)+1)),0)*12,1))</f>
        <v>#REF!</v>
      </c>
      <c r="D5" s="16" t="e">
        <f>IF(D4="",0,ROUND(YEARFRAC(D2,(DATE(YEAR(D3),MONTH(D3),DAY(D3)+1)),0)*12,1))</f>
        <v>#REF!</v>
      </c>
      <c r="E5" s="16" t="e">
        <f>IF(E4="",0,ROUND(YEARFRAC(E2,(DATE(YEAR(E3),MONTH(E3),DAY(E3)+1)),0)*12,1))</f>
        <v>#REF!</v>
      </c>
      <c r="F5" s="16" t="e">
        <f>IF(F4="",0,ROUND(YEARFRAC(F2,(DATE(YEAR(F3),MONTH(F3),DAY(F3)+1)),0)*12,1))</f>
        <v>#REF!</v>
      </c>
      <c r="G5" s="16" t="e">
        <f>IF(G4="",0,ROUND(YEARFRAC(G2,(DATE(YEAR(G3),MONTH(G3),DAY(G3)+1)),0)*12,1))</f>
        <v>#REF!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 t="e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#REF!</v>
      </c>
      <c r="D6" s="15" t="e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#REF!</v>
      </c>
      <c r="E6" s="15" t="e">
        <f t="shared" si="0"/>
        <v>#REF!</v>
      </c>
      <c r="F6" s="15" t="e">
        <f t="shared" si="0"/>
        <v>#REF!</v>
      </c>
      <c r="G6" s="15" t="e">
        <f t="shared" si="0"/>
        <v>#REF!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 t="e">
        <f>IF(ROUND(C5-C6,2)&lt;0,0,ROUND(C5-C6,2))</f>
        <v>#REF!</v>
      </c>
      <c r="D7" s="8" t="e">
        <f>IF(ROUND(D5-D6,2)&lt;0,0,ROUND(D5-D6,2))</f>
        <v>#REF!</v>
      </c>
      <c r="E7" s="8" t="e">
        <f>IF(ROUND(E5-E6,2)&lt;0,0,ROUND(E5-E6,2))</f>
        <v>#REF!</v>
      </c>
      <c r="F7" s="8" t="e">
        <f>IF(ROUND(F5-F6,2)&lt;0,0,ROUND(F5-F6,2))</f>
        <v>#REF!</v>
      </c>
      <c r="G7" s="8" t="e">
        <f>IF(ROUND(G5-G6,2)&lt;0,0,ROUND(G5-G6,2))</f>
        <v>#REF!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e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#REF!</v>
      </c>
      <c r="D8" s="5" t="e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#REF!</v>
      </c>
      <c r="E8" s="5" t="e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#REF!</v>
      </c>
      <c r="F8" s="5" t="e">
        <f t="shared" si="1"/>
        <v>#REF!</v>
      </c>
      <c r="G8" s="5" t="e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#REF!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 t="e">
        <f>IF(C5&lt;C6,C5,IF(C5=C6,C5,IF(C5&gt;C6,C6)))</f>
        <v>#REF!</v>
      </c>
      <c r="D9" s="14" t="e">
        <f t="shared" ref="D9:E9" si="2">IF(D5&lt;D6,D5,IF(D5=D6,D5,IF(D5&gt;D6,D6)))</f>
        <v>#REF!</v>
      </c>
      <c r="E9" s="14" t="e">
        <f t="shared" si="2"/>
        <v>#REF!</v>
      </c>
      <c r="F9" s="14" t="e">
        <f>IF(F5&lt;F6,F5,IF(F5=F6,F5,IF(F5&gt;F6,F6)))</f>
        <v>#REF!</v>
      </c>
      <c r="G9" s="14" t="e">
        <f>IF(G5&lt;G6,G5,IF(G5=G6,G5,IF(G5&gt;G6,G6)))</f>
        <v>#REF!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 t="e">
        <f>ROUND(C5-C9,2)</f>
        <v>#REF!</v>
      </c>
      <c r="D10" s="7" t="e">
        <f>IF(D4="",0,ROUND(D5-D9,2))</f>
        <v>#REF!</v>
      </c>
      <c r="E10" s="7" t="e">
        <f>IF(E4="",0,ROUND(E5-E9,2))</f>
        <v>#REF!</v>
      </c>
      <c r="F10" s="7" t="e">
        <f>IF(F4="",0,ROUND(F5-F9,2))</f>
        <v>#REF!</v>
      </c>
      <c r="G10" s="7" t="e">
        <f>IF(G4="",0,ROUND(G5-G9,2))</f>
        <v>#REF!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 t="e">
        <f>IF(AND(MONTH(C2)=9,DAY(C2)&lt;=5),1,IF(AND(MONTH(C2)=6,DAY(C2)&lt;=15),0.5,IF(AND(MONTH(C2)=7,DAY(C2)&lt;=15),3,IF(AND(MONTH(C2)=7,DAY(C2)&gt;15),2.5,IF(AND(MONTH(C2)=8,DAY(C2)&lt;=15),2,IF(AND(MONTH(C2)=8,DAY(C2)&gt;15),1.5,0.5))))))</f>
        <v>#REF!</v>
      </c>
      <c r="D11" s="21" t="e">
        <f>IF(D4="",0,(IF(AND(MONTH(D2)=9,DAY(D2)&lt;=5),1,IF(AND(MONTH(D2)=6,DAY(D2)&lt;=15),0.5,IF(AND(MONTH(D2)=7,DAY(D2)&lt;=15),3,IF(AND(MONTH(D2)=7,DAY(D2)&gt;15),2.5,IF(AND(MONTH(D2)=8,DAY(D2)&lt;=15),2,IF(AND(MONTH(D2)=8,DAY(D2)&gt;15),1.5,0.5))))))))</f>
        <v>#REF!</v>
      </c>
      <c r="E11" s="21" t="e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#REF!</v>
      </c>
      <c r="F11" s="21" t="e">
        <f t="shared" si="3"/>
        <v>#REF!</v>
      </c>
      <c r="G11" s="21" t="e">
        <f>IF(G4="",0,(IF(AND(MONTH(G2)=9,DAY(G2)&lt;=5),1,IF(AND(MONTH(G2)=6,DAY(G2)&lt;=15),0.5,IF(AND(MONTH(G2)=7,DAY(G2)&lt;=15),3,IF(AND(MONTH(G2)=7,DAY(G2)&gt;15),2.5,IF(AND(MONTH(G2)=8,DAY(G2)&lt;=15),2,IF(AND(MONTH(G2)=8,DAY(G2)&gt;15),1.5,0.5))))))))</f>
        <v>#REF!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 t="e">
        <f>3-C11</f>
        <v>#REF!</v>
      </c>
      <c r="D12" s="7" t="e">
        <f>IF(D4="",0,3-D11)</f>
        <v>#REF!</v>
      </c>
      <c r="E12" s="7" t="e">
        <f>IF(E4="",0,3-E11)</f>
        <v>#REF!</v>
      </c>
      <c r="F12" s="7" t="e">
        <f>IF(F4="",0,3-F11)</f>
        <v>#REF!</v>
      </c>
      <c r="G12" s="7" t="e">
        <f>IF(G4="",0,3-G11)</f>
        <v>#REF!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 t="e">
        <f>IF(C9&gt;=C11,C11,C9)</f>
        <v>#REF!</v>
      </c>
      <c r="D13" s="74" t="e">
        <f>IF(D4="",0,IF(D9&gt;=D11,D11,D9))</f>
        <v>#REF!</v>
      </c>
      <c r="E13" s="74" t="e">
        <f t="shared" ref="E13:G13" si="4">IF(E9&gt;=E11,E11,E9)</f>
        <v>#REF!</v>
      </c>
      <c r="F13" s="74" t="e">
        <f t="shared" si="4"/>
        <v>#REF!</v>
      </c>
      <c r="G13" s="74" t="e">
        <f t="shared" si="4"/>
        <v>#REF!</v>
      </c>
      <c r="H13" s="12"/>
    </row>
    <row r="14" spans="1:15" x14ac:dyDescent="0.2">
      <c r="A14" s="72" t="s">
        <v>56</v>
      </c>
      <c r="B14" s="73"/>
      <c r="C14" s="74" t="e">
        <f>IF(C10&gt;=C12,C12,C10)</f>
        <v>#REF!</v>
      </c>
      <c r="D14" s="74" t="e">
        <f t="shared" ref="D14:G14" si="5">IF(D10&gt;=D12,D12,D10)</f>
        <v>#REF!</v>
      </c>
      <c r="E14" s="74" t="e">
        <f t="shared" si="5"/>
        <v>#REF!</v>
      </c>
      <c r="F14" s="74" t="e">
        <f t="shared" si="5"/>
        <v>#REF!</v>
      </c>
      <c r="G14" s="74" t="e">
        <f t="shared" si="5"/>
        <v>#REF!</v>
      </c>
      <c r="H14" s="12"/>
    </row>
    <row r="15" spans="1:15" x14ac:dyDescent="0.2">
      <c r="A15" s="258" t="s">
        <v>58</v>
      </c>
      <c r="B15" s="5" t="e">
        <f ca="1">IF(#REF!="",TODAY(),#REF!)</f>
        <v>#REF!</v>
      </c>
      <c r="H15" s="12"/>
    </row>
    <row r="16" spans="1:15" x14ac:dyDescent="0.2">
      <c r="A16" s="258" t="s">
        <v>60</v>
      </c>
      <c r="B16" s="5" t="e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#REF!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e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#REF!</v>
      </c>
      <c r="C17" s="28" t="e">
        <f>(DATE(YEAR(C2),MONTH(C2)+C6,DAY(C2)-1))</f>
        <v>#REF!</v>
      </c>
      <c r="D17" s="28" t="e">
        <f>IF(D2="","",(DATE(YEAR(D2),MONTH(D2)+D6,DAY(D2)-1)))</f>
        <v>#REF!</v>
      </c>
      <c r="E17" s="28" t="e">
        <f>IF(E2="","",(DATE(YEAR(E2),MONTH(E2)+E6,DAY(E2)-1)))</f>
        <v>#REF!</v>
      </c>
      <c r="F17" s="28" t="e">
        <f t="shared" ref="F17:G17" si="6">IF(F2="","",(DATE(YEAR(F2),MONTH(F2)+F6,DAY(F2)-1)))</f>
        <v>#REF!</v>
      </c>
      <c r="G17" s="165" t="e">
        <f t="shared" si="6"/>
        <v>#REF!</v>
      </c>
      <c r="H17" s="12"/>
    </row>
    <row r="18" spans="1:8" x14ac:dyDescent="0.2">
      <c r="A18" s="258" t="s">
        <v>59</v>
      </c>
      <c r="B18" s="116" t="e">
        <f ca="1">ROUND(IF(B16="","",YEARFRAC(B15,(DATE(YEAR(B17),MONTH(B17),DAY(B17)+1)),1)*12),1)</f>
        <v>#REF!</v>
      </c>
      <c r="C18" s="31" t="e">
        <f>(DATE(YEAR(C2),MONTH(C2)+C6,DAY(C2)))</f>
        <v>#REF!</v>
      </c>
      <c r="D18" s="31" t="e">
        <f>IF(D2="","",(DATE(YEAR(D2),MONTH(D2)+D6,DAY(D2))))</f>
        <v>#REF!</v>
      </c>
      <c r="E18" s="31" t="e">
        <f t="shared" ref="E18:G18" si="7">IF(E2="","",(DATE(YEAR(E2),MONTH(E2)+E6,DAY(E2))))</f>
        <v>#REF!</v>
      </c>
      <c r="F18" s="31" t="e">
        <f t="shared" si="7"/>
        <v>#REF!</v>
      </c>
      <c r="G18" s="166" t="e">
        <f t="shared" si="7"/>
        <v>#REF!</v>
      </c>
      <c r="H18" s="12"/>
    </row>
    <row r="19" spans="1:8" x14ac:dyDescent="0.2">
      <c r="A19" s="258" t="s">
        <v>62</v>
      </c>
      <c r="B19" s="116" t="e">
        <f ca="1">ROUND(YEARFRAC(B15,(DATE(YEAR(B2),MONTH(B2),DAY(B2)+1)),1)*12,1)</f>
        <v>#REF!</v>
      </c>
      <c r="C19" s="33" t="e">
        <f>C3</f>
        <v>#REF!</v>
      </c>
      <c r="D19" s="33" t="e">
        <f>D3</f>
        <v>#REF!</v>
      </c>
      <c r="E19" s="33" t="e">
        <f>E3</f>
        <v>#REF!</v>
      </c>
      <c r="F19" s="33" t="e">
        <f>F3</f>
        <v>#REF!</v>
      </c>
      <c r="G19" s="167" t="e">
        <f>G3</f>
        <v>#REF!</v>
      </c>
      <c r="H19" s="12"/>
    </row>
    <row r="20" spans="1:8" x14ac:dyDescent="0.2">
      <c r="A20" s="258" t="s">
        <v>63</v>
      </c>
      <c r="B20" s="7" t="e">
        <f ca="1">IF(B18&gt;B19,0,IF(B19&gt;=B18,ROUNDDOWN((B19-B18)/12+1,0)))</f>
        <v>#REF!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 t="e">
        <f ca="1">IF(C22=TRUE,C21,DATE(YEAR(C21)+1,MONTH(C21),DAY(C21)))</f>
        <v>#REF!</v>
      </c>
      <c r="C21" s="28" t="e">
        <f ca="1">IF(B16="14/15",("09/01/2014"),IF(B16="15/16",("09/01/2015"),IF(B16="16/17",("09/01/2016"),IF(B16="17/18",("09/1/2017")))))</f>
        <v>#REF!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 t="e">
        <f ca="1">ROUND(IF(B16="","",YEARFRAC(B15,(DATE(YEAR(B21),MONTH(B21),DAY(B21)+1)),1)*12),1)</f>
        <v>#REF!</v>
      </c>
      <c r="C22" s="31" t="e">
        <f ca="1">(DATE(YEAR(C21),MONTH(C21),DAY(C21))&gt;(DATE(YEAR(B15),MONTH(B15),DAY(B15))))</f>
        <v>#REF!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 t="e">
        <f ca="1">ROUND(YEARFRAC(B15,(DATE(YEAR(B2),MONTH(B2),DAY(B2)+1)),1)*12,1)</f>
        <v>#REF!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 t="e">
        <f ca="1">IF(AND(B22&gt;=B23,B22&lt;5),0,(IF(AND(B22&gt;=B23,B22&gt;=5),1,(IF(AND(B23&gt;B22,B22&gt;=5),ROUND((B23-B22)/12+1,0),((ROUND((B23-B22)/12,0))))))))</f>
        <v>#REF!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 t="e">
        <f>IF(MONTH(C2)=7,9,IF(MONTH(C2)=8,9,IF(MONTH(C2)=9,9,IF(MONTH(C2)=10,9,IF(MONTH(C2)=11,8,IF(MONTH(C2)=12,7,IF(MONTH(C2)=1,6,IF(MONTH(C2)=2,5,IF(MONTH(C2)=3,4,IF(MONTH(C2)=4,3,IF(MONTH(C2)=5,2,IF(MONTH(C2)=6,1))))))))))))</f>
        <v>#REF!</v>
      </c>
      <c r="D25" s="7" t="e">
        <f>IF(D2="",0,(IF(MONTH(D2)=7,9,IF(MONTH(D2)=8,9,IF(MONTH(D2)=9,9,IF(MONTH(D2)=10,9,IF(MONTH(D2)=11,8,IF(MONTH(D2)=12,7,IF(MONTH(D2)=1,6,IF(MONTH(D2)=2,5,IF(MONTH(D2)=3,4,IF(MONTH(D2)=4,3,IF(MONTH(D2)=5,2,IF(MONTH(D2)=6,1))))))))))))))</f>
        <v>#REF!</v>
      </c>
      <c r="E25" s="7" t="e">
        <f>IF(E2="",0,(IF(MONTH(E2)=7,9,IF(MONTH(E2)=8,9,IF(MONTH(E2)=9,9,IF(MONTH(E2)=10,9,IF(MONTH(E2)=11,8,IF(MONTH(E2)=12,7,IF(MONTH(E2)=1,6,IF(MONTH(E2)=2,5,IF(MONTH(E2)=3,4,IF(MONTH(E2)=4,3,IF(MONTH(E2)=5,2,IF(MONTH(E2)=6,1))))))))))))))</f>
        <v>#REF!</v>
      </c>
      <c r="F25" s="7" t="e">
        <f>IF(F2="",0,(IF(MONTH(F2)=7,9,IF(MONTH(F2)=8,9,IF(MONTH(F2)=9,9,IF(MONTH(F2)=10,9,IF(MONTH(F2)=11,8,IF(MONTH(F2)=12,7,IF(MONTH(F2)=1,6,IF(MONTH(F2)=2,5,IF(MONTH(F2)=3,4,IF(MONTH(F2)=4,3,IF(MONTH(F2)=5,2,IF(MONTH(F2)=6,1))))))))))))))</f>
        <v>#REF!</v>
      </c>
      <c r="G25" s="7" t="e">
        <f>IF(G4="",0,(IF(MONTH(G2)=7,9,IF(MONTH(G2)=8,9,IF(MONTH(G2)=9,9,IF(MONTH(G2)=10,9,IF(MONTH(G2)=11,9,IF(MONTH(G2)=12,9,IF(MONTH(G2)=1,6,IF(MONTH(G2)=2,6,IF(MONTH(G2)=3,3,IF(MONTH(G2)=4,3,IF(MONTH(G2)=5,3,IF(MONTH(G2)=6,0))))))))))))))</f>
        <v>#REF!</v>
      </c>
      <c r="H25" s="12"/>
    </row>
    <row r="26" spans="1:8" x14ac:dyDescent="0.2">
      <c r="A26" s="258" t="s">
        <v>119</v>
      </c>
      <c r="B26" s="7"/>
      <c r="C26" s="14" t="e">
        <f>9-C25</f>
        <v>#REF!</v>
      </c>
      <c r="D26" s="14" t="e">
        <f>IF(D4="",0,9-D25)</f>
        <v>#REF!</v>
      </c>
      <c r="E26" s="14" t="e">
        <f>IF(E4="",0,9-E25)</f>
        <v>#REF!</v>
      </c>
      <c r="F26" s="14" t="e">
        <f>IF(F4="",0,9-F25)</f>
        <v>#REF!</v>
      </c>
      <c r="G26" s="14" t="e">
        <f>IF(G4="",0,9-G25)</f>
        <v>#REF!</v>
      </c>
      <c r="H26" s="12"/>
    </row>
    <row r="27" spans="1:8" x14ac:dyDescent="0.2">
      <c r="A27" s="258" t="s">
        <v>120</v>
      </c>
      <c r="B27" s="7"/>
      <c r="C27" s="7" t="e">
        <f>IF(C5&lt;C25,C5,C25)</f>
        <v>#REF!</v>
      </c>
      <c r="D27" s="7" t="e">
        <f>IF(D5&lt;D25,D5,D25)</f>
        <v>#REF!</v>
      </c>
      <c r="E27" s="7" t="e">
        <f t="shared" ref="E27:G27" si="8">IF(E5&lt;E25,E5,E25)</f>
        <v>#REF!</v>
      </c>
      <c r="F27" s="7" t="e">
        <f t="shared" si="8"/>
        <v>#REF!</v>
      </c>
      <c r="G27" s="7" t="e">
        <f t="shared" si="8"/>
        <v>#REF!</v>
      </c>
      <c r="H27" s="12"/>
    </row>
    <row r="28" spans="1:8" x14ac:dyDescent="0.2">
      <c r="A28" s="258" t="s">
        <v>121</v>
      </c>
      <c r="B28" s="5"/>
      <c r="C28" s="7" t="e">
        <f>IF(C5&lt;C25,0,IF(C5&lt;C25+C26,C5-C25,C26))</f>
        <v>#REF!</v>
      </c>
      <c r="D28" s="7" t="e">
        <f>IF(D4="",0,IF(D5&lt;D25,0,IF(D5&lt;D25+D26,D5-D25,D26)))</f>
        <v>#REF!</v>
      </c>
      <c r="E28" s="7" t="e">
        <f>IF(E4="",0,IF(E5&lt;E25,0,IF(E5&lt;E25+E26,E5-E25,E26)))</f>
        <v>#REF!</v>
      </c>
      <c r="F28" s="7" t="e">
        <f>IF(F4="",0,IF(F5&lt;F25,0,IF(F5&lt;F25+F26,F5-F25,F26)))</f>
        <v>#REF!</v>
      </c>
      <c r="G28" s="7" t="e">
        <f>IF(G4="",0,(IF(G5&lt;G25,0,IF(G5&lt;G25+G26,G5-G25,G26))))</f>
        <v>#REF!</v>
      </c>
      <c r="H28" s="12"/>
    </row>
    <row r="29" spans="1:8" x14ac:dyDescent="0.2">
      <c r="A29" s="258" t="s">
        <v>165</v>
      </c>
      <c r="B29" s="5"/>
      <c r="C29" s="7" t="e">
        <f>C27+C28</f>
        <v>#REF!</v>
      </c>
      <c r="D29" s="7" t="e">
        <f t="shared" ref="D29:G29" si="9">D27+D28</f>
        <v>#REF!</v>
      </c>
      <c r="E29" s="7" t="e">
        <f t="shared" si="9"/>
        <v>#REF!</v>
      </c>
      <c r="F29" s="7" t="e">
        <f t="shared" si="9"/>
        <v>#REF!</v>
      </c>
      <c r="G29" s="7" t="e">
        <f t="shared" si="9"/>
        <v>#REF!</v>
      </c>
      <c r="H29" s="12"/>
    </row>
    <row r="30" spans="1:8" x14ac:dyDescent="0.2">
      <c r="A30" s="258" t="s">
        <v>166</v>
      </c>
      <c r="B30" s="5"/>
      <c r="C30" s="7" t="e">
        <f>IF(C29=0,0,IF(C29&lt;4,1,IF(C29&lt;7,2,3)))</f>
        <v>#REF!</v>
      </c>
      <c r="D30" s="7" t="e">
        <f t="shared" ref="D30:F30" si="10">IF(D29=0,0,IF(D29&lt;4,1,IF(D29&lt;7,2,3)))</f>
        <v>#REF!</v>
      </c>
      <c r="E30" s="7" t="e">
        <f t="shared" si="10"/>
        <v>#REF!</v>
      </c>
      <c r="F30" s="7" t="e">
        <f t="shared" si="10"/>
        <v>#REF!</v>
      </c>
      <c r="G30" s="7" t="e">
        <f>IF(G29=0,0,IF(G29&lt;4,1,IF(G29&lt;7,2,3)))</f>
        <v>#REF!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 t="e">
        <f>IF(#REF!="No",$E35,ROUND(E35*1.03,3))</f>
        <v>#REF!</v>
      </c>
      <c r="G35" s="4" t="e">
        <f>IF(#REF!="No",$E35,ROUND(F35*1.03,3))</f>
        <v>#REF!</v>
      </c>
      <c r="H35" s="4" t="e">
        <f>IF(#REF!="No",$E35,ROUND(G35*1.03,3))</f>
        <v>#REF!</v>
      </c>
      <c r="I35" s="4" t="e">
        <f>IF(#REF!="No",$E35,ROUND(H35*1.03,3))</f>
        <v>#REF!</v>
      </c>
      <c r="J35" s="4" t="e">
        <f>IF(#REF!="No",$E35,ROUND(I35*1.03,3))</f>
        <v>#REF!</v>
      </c>
      <c r="K35" s="4" t="e">
        <f>IF(#REF!="No",$E35,ROUND(J35*1.03,3))</f>
        <v>#REF!</v>
      </c>
      <c r="L35" s="4" t="e">
        <f>IF(#REF!="No",$E35,ROUND(K35*1.03,3))</f>
        <v>#REF!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 t="e">
        <f>IF(#REF!="No",$E36,ROUND(E36*1.03,3))</f>
        <v>#REF!</v>
      </c>
      <c r="G36" s="4" t="e">
        <f>IF(#REF!="No",$E36,ROUND(F36*1.03,3))</f>
        <v>#REF!</v>
      </c>
      <c r="H36" s="4" t="e">
        <f>IF(#REF!="No",$E36,ROUND(G36*1.03,3))</f>
        <v>#REF!</v>
      </c>
      <c r="I36" s="4" t="e">
        <f>IF(#REF!="No",$E36,ROUND(H36*1.03,3))</f>
        <v>#REF!</v>
      </c>
      <c r="J36" s="4" t="e">
        <f>IF(#REF!="No",$E36,ROUND(I36*1.03,3))</f>
        <v>#REF!</v>
      </c>
      <c r="K36" s="4" t="e">
        <f>IF(#REF!="No",$E36,ROUND(J36*1.03,3))</f>
        <v>#REF!</v>
      </c>
      <c r="L36" s="4" t="e">
        <f>IF(#REF!="No",$E36,ROUND(K36*1.03,3))</f>
        <v>#REF!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 t="e">
        <f>IF(#REF!="No",$E37,ROUND(E37*1.03,3))</f>
        <v>#REF!</v>
      </c>
      <c r="G37" s="4" t="e">
        <f>IF(#REF!="No",$E37,ROUND(F37*1.03,3))</f>
        <v>#REF!</v>
      </c>
      <c r="H37" s="4" t="e">
        <f>IF(#REF!="No",$E37,ROUND(G37*1.03,3))</f>
        <v>#REF!</v>
      </c>
      <c r="I37" s="4" t="e">
        <f>IF(#REF!="No",$E37,ROUND(H37*1.03,3))</f>
        <v>#REF!</v>
      </c>
      <c r="J37" s="4" t="e">
        <f>IF(#REF!="No",$E37,ROUND(I37*1.03,3))</f>
        <v>#REF!</v>
      </c>
      <c r="K37" s="4" t="e">
        <f>IF(#REF!="No",$E37,ROUND(J37*1.03,3))</f>
        <v>#REF!</v>
      </c>
      <c r="L37" s="4" t="e">
        <f>IF(#REF!="No",$E37,ROUND(K37*1.03,3))</f>
        <v>#REF!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 t="e">
        <f>IF(#REF!="No",$E38,ROUND(E38*1.03,3))</f>
        <v>#REF!</v>
      </c>
      <c r="G38" s="4" t="e">
        <f>IF(#REF!="No",$E38,ROUND(F38*1.03,3))</f>
        <v>#REF!</v>
      </c>
      <c r="H38" s="4" t="e">
        <f>IF(#REF!="No",$E38,ROUND(G38*1.03,3))</f>
        <v>#REF!</v>
      </c>
      <c r="I38" s="4" t="e">
        <f>IF(#REF!="No",$E38,ROUND(H38*1.03,3))</f>
        <v>#REF!</v>
      </c>
      <c r="J38" s="4" t="e">
        <f>IF(#REF!="No",$E38,ROUND(I38*1.03,3))</f>
        <v>#REF!</v>
      </c>
      <c r="K38" s="4" t="e">
        <f>IF(#REF!="No",$E38,ROUND(J38*1.03,3))</f>
        <v>#REF!</v>
      </c>
      <c r="L38" s="4" t="e">
        <f>IF(#REF!="No",$E38,ROUND(K38*1.03,3))</f>
        <v>#REF!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 t="e">
        <f>IF(#REF!="No",$E39,ROUND(E39*1.03,3))</f>
        <v>#REF!</v>
      </c>
      <c r="G39" s="4" t="e">
        <f>IF(#REF!="No",$E39,ROUND(F39*1.03,3))</f>
        <v>#REF!</v>
      </c>
      <c r="H39" s="4" t="e">
        <f>IF(#REF!="No",$E39,ROUND(G39*1.03,3))</f>
        <v>#REF!</v>
      </c>
      <c r="I39" s="4" t="e">
        <f>IF(#REF!="No",$E39,ROUND(H39*1.03,3))</f>
        <v>#REF!</v>
      </c>
      <c r="J39" s="4" t="e">
        <f>IF(#REF!="No",$E39,ROUND(I39*1.03,3))</f>
        <v>#REF!</v>
      </c>
      <c r="K39" s="4" t="e">
        <f>IF(#REF!="No",$E39,ROUND(J39*1.03,3))</f>
        <v>#REF!</v>
      </c>
      <c r="L39" s="4" t="e">
        <f>IF(#REF!="No",$E39,ROUND(K39*1.03,3))</f>
        <v>#REF!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 t="e">
        <f>IF(#REF!="No",$E40,ROUND(E40*1.03,3))</f>
        <v>#REF!</v>
      </c>
      <c r="G40" s="4" t="e">
        <f>IF(#REF!="No",$E40,ROUND(F40*1.03,3))</f>
        <v>#REF!</v>
      </c>
      <c r="H40" s="4" t="e">
        <f>IF(#REF!="No",$E40,ROUND(G40*1.03,3))</f>
        <v>#REF!</v>
      </c>
      <c r="I40" s="4" t="e">
        <f>IF(#REF!="No",$E40,ROUND(H40*1.03,3))</f>
        <v>#REF!</v>
      </c>
      <c r="J40" s="4" t="e">
        <f>IF(#REF!="No",$E40,ROUND(I40*1.03,3))</f>
        <v>#REF!</v>
      </c>
      <c r="K40" s="4" t="e">
        <f>IF(#REF!="No",$E40,ROUND(J40*1.03,3))</f>
        <v>#REF!</v>
      </c>
      <c r="L40" s="4" t="e">
        <f>IF(#REF!="No",$E40,ROUND(K40*1.03,3))</f>
        <v>#REF!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 t="e">
        <f>IF(#REF!="No",$E41,ROUND(E41*1.03,3))</f>
        <v>#REF!</v>
      </c>
      <c r="G41" s="4" t="e">
        <f>IF(#REF!="No",$E41,ROUND(F41*1.03,3))</f>
        <v>#REF!</v>
      </c>
      <c r="H41" s="4" t="e">
        <f>IF(#REF!="No",$E41,ROUND(G41*1.03,3))</f>
        <v>#REF!</v>
      </c>
      <c r="I41" s="4" t="e">
        <f>IF(#REF!="No",$E41,ROUND(H41*1.03,3))</f>
        <v>#REF!</v>
      </c>
      <c r="J41" s="4" t="e">
        <f>IF(#REF!="No",$E41,ROUND(I41*1.03,3))</f>
        <v>#REF!</v>
      </c>
      <c r="K41" s="4" t="e">
        <f>IF(#REF!="No",$E41,ROUND(J41*1.03,3))</f>
        <v>#REF!</v>
      </c>
      <c r="L41" s="4" t="e">
        <f>IF(#REF!="No",$E41,ROUND(K41*1.03,3))</f>
        <v>#REF!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 t="e">
        <f>IF(#REF!="No",$E42,ROUND(E42*1.03,3))</f>
        <v>#REF!</v>
      </c>
      <c r="G42" s="4" t="e">
        <f>IF(#REF!="No",$E42,ROUND(F42*1.03,3))</f>
        <v>#REF!</v>
      </c>
      <c r="H42" s="4" t="e">
        <f>IF(#REF!="No",$E42,ROUND(G42*1.03,3))</f>
        <v>#REF!</v>
      </c>
      <c r="I42" s="4" t="e">
        <f>IF(#REF!="No",$E42,ROUND(H42*1.03,3))</f>
        <v>#REF!</v>
      </c>
      <c r="J42" s="4" t="e">
        <f>IF(#REF!="No",$E42,ROUND(I42*1.03,3))</f>
        <v>#REF!</v>
      </c>
      <c r="K42" s="4" t="e">
        <f>IF(#REF!="No",$E42,ROUND(J42*1.03,3))</f>
        <v>#REF!</v>
      </c>
      <c r="L42" s="4" t="e">
        <f>IF(#REF!="No",$E42,ROUND(K42*1.03,3))</f>
        <v>#REF!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 t="e">
        <f>IF(#REF!="No",$E43,ROUND(E43*1.03,3))</f>
        <v>#REF!</v>
      </c>
      <c r="G43" s="4" t="e">
        <f>IF(#REF!="No",$E43,ROUND(F43*1.03,3))</f>
        <v>#REF!</v>
      </c>
      <c r="H43" s="4" t="e">
        <f>IF(#REF!="No",$E43,ROUND(G43*1.03,3))</f>
        <v>#REF!</v>
      </c>
      <c r="I43" s="4" t="e">
        <f>IF(#REF!="No",$E43,ROUND(H43*1.03,3))</f>
        <v>#REF!</v>
      </c>
      <c r="J43" s="4" t="e">
        <f>IF(#REF!="No",$E43,ROUND(I43*1.03,3))</f>
        <v>#REF!</v>
      </c>
      <c r="K43" s="4" t="e">
        <f>IF(#REF!="No",$E43,ROUND(J43*1.03,3))</f>
        <v>#REF!</v>
      </c>
      <c r="L43" s="4" t="e">
        <f>IF(#REF!="No",$E43,ROUND(K43*1.03,3))</f>
        <v>#REF!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 t="e">
        <f>IF($D$4="",0,IF($D$4=$C$34,C35,IF($D$4=$D$34,D35,IF($D$4=$E$34,E35,IF($D$4=F34,$F$35,IF($D$4=G34,$G$35,IF($D$4=H34,$H$35)))))))</f>
        <v>#REF!</v>
      </c>
      <c r="E47" s="4" t="e">
        <f>IF($D$4="",0,IF($D$7=0,D47,IF($D$4=$B$34,C35,IF($D$4=$C$34,D35,IF($D$4=$D$34,E35,IF($D$4=$E$34,F35,IF($D$4=$F$34,G35,IF($D$4=$G$34,H35,IF($D$4=$H$34,I35,IF($D$4=$I$34,J35))))))))))</f>
        <v>#REF!</v>
      </c>
      <c r="F47" s="4" t="e">
        <f t="shared" ref="F47:F55" si="11">IF($E$4="",0,IF($E$4=$D$34,D35,IF($E$4=$E$34,E35,IF($E$4=$F$34,F35,IF($E$4=$G$34,G35,IF($E$4=$H$34,H35,IF($E$4=I34,I35,IF($E$4=$J$34,J35))))))))</f>
        <v>#REF!</v>
      </c>
      <c r="G47" s="4" t="e">
        <f>IF($E$4="",0,IF($E$7=0,F47,IF($E$4=$B$34,C35,IF($E$4=$C$34,D35,IF($E$4=$D$34,E35,IF($E$4=$E$34,F35,IF($E$4=$F$34,G35,IF($E$4=$G$34,H35,IF($E$4=$H$34,I35,IF($E$4=$I$34,J35))))))))))</f>
        <v>#REF!</v>
      </c>
      <c r="H47" s="4" t="e">
        <f t="shared" ref="H47:H55" si="12">IF($F$4="",0,IF($F$4=$D$34,D35,IF($F$4=$E$34,E35,IF($F$4=$F$34,F35,IF($F$4=$G$34,G35,IF($F$4=$H$34,H35,IF($F$4=$I$34,I35,IF($F$4=$J$34,J35,IF($F$4=$K$34,K35,)))))))))</f>
        <v>#REF!</v>
      </c>
      <c r="I47" s="4" t="e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#REF!</v>
      </c>
      <c r="J47" s="4" t="e">
        <f t="shared" ref="J47:J55" si="14">IF($G$4="",0,IF($G$4=$D$34,D35,IF($G$4=$E$34,E35,IF($G$4=$F$34,F35,IF($G$4=$G$34,G35,IF($G$4=$H$34,H35,IF($G$4=$I$34,I35,IF($G$4=$J$34,J35,IF($G$4=$K$34,K35,IF($G$4=$L$34,L35))))))))))</f>
        <v>#REF!</v>
      </c>
      <c r="K47" s="4" t="e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#REF!</v>
      </c>
    </row>
    <row r="48" spans="1:12" x14ac:dyDescent="0.2">
      <c r="A48" s="4" t="s">
        <v>16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 t="e">
        <f t="shared" ref="D48:D55" si="18">IF($D$4="",0,IF($D$4=$C$34,C36,IF($D$4=$D$34,D36,IF($D$4=$E$34,E36,IF($D$4=$F$34,F36,IF($D$4=$G$34,G36,IF($D$4=$H$34,H36)))))))</f>
        <v>#REF!</v>
      </c>
      <c r="E48" s="4" t="e">
        <f t="shared" ref="E48:E55" si="19">IF($D$4="",0,IF($D$7=0,D48,IF($D$4=$B$34,C36,IF($D$4=$C$34,D36,IF($D$4=$D$34,E36,IF($D$4=$E$34,F36,IF($D$4=$F$34,G36,IF($D$4=$G$34,H36,IF($D$4=$H$34,I36,IF($D$4=$I$34,J36))))))))))</f>
        <v>#REF!</v>
      </c>
      <c r="F48" s="4" t="e">
        <f t="shared" si="11"/>
        <v>#REF!</v>
      </c>
      <c r="G48" s="4" t="e">
        <f t="shared" ref="G48:G55" si="20">IF($E$4="",0,IF($E$7=0,F48,IF($E$4=$B$34,C36,IF($E$4=$C$34,D36,IF($E$4=$D$34,E36,IF($E$4=$E$34,F36,IF($E$4=$F$34,G36,IF($E$4=$G$34,H36,IF($E$4=$H$34,I36,IF($E$4=$I$34,J36))))))))))</f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</row>
    <row r="49" spans="1:11" x14ac:dyDescent="0.2">
      <c r="A49" s="4" t="s">
        <v>30</v>
      </c>
      <c r="B49" s="4" t="e">
        <f t="shared" si="16"/>
        <v>#REF!</v>
      </c>
      <c r="C49" s="4" t="e">
        <f t="shared" si="17"/>
        <v>#REF!</v>
      </c>
      <c r="D49" s="4" t="e">
        <f t="shared" si="18"/>
        <v>#REF!</v>
      </c>
      <c r="E49" s="4" t="e">
        <f t="shared" si="19"/>
        <v>#REF!</v>
      </c>
      <c r="F49" s="4" t="e">
        <f t="shared" si="11"/>
        <v>#REF!</v>
      </c>
      <c r="G49" s="4" t="e">
        <f t="shared" si="20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</row>
    <row r="50" spans="1:11" x14ac:dyDescent="0.2">
      <c r="A50" s="4" t="s">
        <v>20</v>
      </c>
      <c r="B50" s="4" t="e">
        <f t="shared" si="16"/>
        <v>#REF!</v>
      </c>
      <c r="C50" s="4" t="e">
        <f t="shared" si="17"/>
        <v>#REF!</v>
      </c>
      <c r="D50" s="4" t="e">
        <f t="shared" si="18"/>
        <v>#REF!</v>
      </c>
      <c r="E50" s="4" t="e">
        <f t="shared" si="19"/>
        <v>#REF!</v>
      </c>
      <c r="F50" s="4" t="e">
        <f t="shared" si="11"/>
        <v>#REF!</v>
      </c>
      <c r="G50" s="4" t="e">
        <f t="shared" si="20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</row>
    <row r="51" spans="1:11" x14ac:dyDescent="0.2">
      <c r="A51" s="4" t="s">
        <v>31</v>
      </c>
      <c r="B51" s="4" t="e">
        <f t="shared" si="16"/>
        <v>#REF!</v>
      </c>
      <c r="C51" s="4" t="e">
        <f t="shared" si="17"/>
        <v>#REF!</v>
      </c>
      <c r="D51" s="4" t="e">
        <f t="shared" si="18"/>
        <v>#REF!</v>
      </c>
      <c r="E51" s="4" t="e">
        <f t="shared" si="19"/>
        <v>#REF!</v>
      </c>
      <c r="F51" s="4" t="e">
        <f t="shared" si="11"/>
        <v>#REF!</v>
      </c>
      <c r="G51" s="4" t="e">
        <f t="shared" si="20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</row>
    <row r="52" spans="1:11" x14ac:dyDescent="0.2">
      <c r="A52" s="4" t="s">
        <v>19</v>
      </c>
      <c r="B52" s="4" t="e">
        <f t="shared" si="16"/>
        <v>#REF!</v>
      </c>
      <c r="C52" s="4" t="e">
        <f t="shared" si="17"/>
        <v>#REF!</v>
      </c>
      <c r="D52" s="4" t="e">
        <f t="shared" si="18"/>
        <v>#REF!</v>
      </c>
      <c r="E52" s="4" t="e">
        <f t="shared" si="19"/>
        <v>#REF!</v>
      </c>
      <c r="F52" s="4" t="e">
        <f t="shared" si="11"/>
        <v>#REF!</v>
      </c>
      <c r="G52" s="4" t="e">
        <f t="shared" si="20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</row>
    <row r="53" spans="1:11" x14ac:dyDescent="0.2">
      <c r="A53" s="4" t="s">
        <v>32</v>
      </c>
      <c r="B53" s="4" t="e">
        <f t="shared" si="16"/>
        <v>#REF!</v>
      </c>
      <c r="C53" s="4" t="e">
        <f t="shared" si="17"/>
        <v>#REF!</v>
      </c>
      <c r="D53" s="20" t="e">
        <f t="shared" si="18"/>
        <v>#REF!</v>
      </c>
      <c r="E53" s="20" t="e">
        <f t="shared" si="19"/>
        <v>#REF!</v>
      </c>
      <c r="F53" s="20" t="e">
        <f t="shared" si="11"/>
        <v>#REF!</v>
      </c>
      <c r="G53" s="20" t="e">
        <f t="shared" si="20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</row>
    <row r="54" spans="1:11" x14ac:dyDescent="0.2">
      <c r="A54" s="4" t="s">
        <v>33</v>
      </c>
      <c r="B54" s="4" t="e">
        <f t="shared" si="16"/>
        <v>#REF!</v>
      </c>
      <c r="C54" s="4" t="e">
        <f t="shared" si="17"/>
        <v>#REF!</v>
      </c>
      <c r="D54" s="4" t="e">
        <f t="shared" si="18"/>
        <v>#REF!</v>
      </c>
      <c r="E54" s="4" t="e">
        <f t="shared" si="19"/>
        <v>#REF!</v>
      </c>
      <c r="F54" s="4" t="e">
        <f t="shared" si="11"/>
        <v>#REF!</v>
      </c>
      <c r="G54" s="4" t="e">
        <f t="shared" si="20"/>
        <v>#REF!</v>
      </c>
      <c r="H54" s="4" t="e">
        <f t="shared" si="12"/>
        <v>#REF!</v>
      </c>
      <c r="I54" s="4" t="e">
        <f t="shared" si="13"/>
        <v>#REF!</v>
      </c>
      <c r="J54" s="4" t="e">
        <f t="shared" si="14"/>
        <v>#REF!</v>
      </c>
      <c r="K54" s="4" t="e">
        <f t="shared" si="15"/>
        <v>#REF!</v>
      </c>
    </row>
    <row r="55" spans="1:11" x14ac:dyDescent="0.2">
      <c r="A55" s="4" t="s">
        <v>22</v>
      </c>
      <c r="B55" s="4" t="e">
        <f t="shared" si="16"/>
        <v>#REF!</v>
      </c>
      <c r="C55" s="4" t="e">
        <f t="shared" si="17"/>
        <v>#REF!</v>
      </c>
      <c r="D55" s="4" t="e">
        <f t="shared" si="18"/>
        <v>#REF!</v>
      </c>
      <c r="E55" s="4" t="e">
        <f t="shared" si="19"/>
        <v>#REF!</v>
      </c>
      <c r="F55" s="4" t="e">
        <f t="shared" si="11"/>
        <v>#REF!</v>
      </c>
      <c r="G55" s="4" t="e">
        <f t="shared" si="20"/>
        <v>#REF!</v>
      </c>
      <c r="H55" s="4" t="e">
        <f t="shared" si="12"/>
        <v>#REF!</v>
      </c>
      <c r="I55" s="4" t="e">
        <f t="shared" si="13"/>
        <v>#REF!</v>
      </c>
      <c r="J55" s="4" t="e">
        <f t="shared" si="14"/>
        <v>#REF!</v>
      </c>
      <c r="K55" s="4" t="e">
        <f t="shared" si="15"/>
        <v>#REF!</v>
      </c>
    </row>
    <row r="56" spans="1:11" x14ac:dyDescent="0.2">
      <c r="A56" s="4" t="s">
        <v>51</v>
      </c>
      <c r="B56" s="4" t="e">
        <f>B52</f>
        <v>#REF!</v>
      </c>
      <c r="C56" s="4" t="e">
        <f t="shared" ref="C56:K56" si="21">C52</f>
        <v>#REF!</v>
      </c>
      <c r="D56" s="4" t="e">
        <f t="shared" si="21"/>
        <v>#REF!</v>
      </c>
      <c r="E56" s="4" t="e">
        <f t="shared" si="21"/>
        <v>#REF!</v>
      </c>
      <c r="F56" s="4" t="e">
        <f t="shared" si="21"/>
        <v>#REF!</v>
      </c>
      <c r="G56" s="4" t="e">
        <f>G52</f>
        <v>#REF!</v>
      </c>
      <c r="H56" s="4" t="e">
        <f t="shared" si="21"/>
        <v>#REF!</v>
      </c>
      <c r="I56" s="4" t="e">
        <f t="shared" si="21"/>
        <v>#REF!</v>
      </c>
      <c r="J56" s="4" t="e">
        <f t="shared" si="21"/>
        <v>#REF!</v>
      </c>
      <c r="K56" s="4" t="e">
        <f t="shared" si="21"/>
        <v>#REF!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e">
        <f t="shared" ref="B59:B66" si="22">IF(B47&lt;&gt;C47,(B47*100)&amp;"/"&amp;C47*100,B47*100)</f>
        <v>#REF!</v>
      </c>
      <c r="C59" s="259" t="e">
        <f>IF(D4="","",(IF(D47&lt;&gt;E47,(D47*100)&amp;"/"&amp;E47*100,D47*100)))</f>
        <v>#REF!</v>
      </c>
      <c r="D59" s="259" t="e">
        <f>IF(E4="","",(IF(F47&lt;&gt;G47,(F47*100)&amp;"/"&amp;G47*100,F47*100)))</f>
        <v>#REF!</v>
      </c>
      <c r="E59" s="259" t="e">
        <f>IF(F4="","",(IF(H47&lt;&gt;I47,(H47*100)&amp;"/"&amp;I47*100,H47*100)))</f>
        <v>#REF!</v>
      </c>
      <c r="F59" s="259" t="e">
        <f>IF(G4="","",(IF(J47&lt;&gt;K47,(J47*100)&amp;"/"&amp;K47*100,J47*100)))</f>
        <v>#REF!</v>
      </c>
    </row>
    <row r="60" spans="1:11" x14ac:dyDescent="0.2">
      <c r="A60" s="4" t="s">
        <v>16</v>
      </c>
      <c r="B60" s="259" t="e">
        <f t="shared" si="22"/>
        <v>#REF!</v>
      </c>
      <c r="C60" s="259" t="e">
        <f>IF(D4="","",(IF(D48&lt;&gt;E48,(D48*100)&amp;"/"&amp;E48*100,D48*100)))</f>
        <v>#REF!</v>
      </c>
      <c r="D60" s="259" t="e">
        <f>IF(E4="","",(IF(F48&lt;&gt;G48,(F48*100)&amp;"/"&amp;G48*100,F48*100)))</f>
        <v>#REF!</v>
      </c>
      <c r="E60" s="259" t="e">
        <f>IF(F4="","",(IF(H48&lt;&gt;I48,(H48*100)&amp;"/"&amp;I48*100,H48*100)))</f>
        <v>#REF!</v>
      </c>
      <c r="F60" s="259" t="e">
        <f>IF(G4="","",(IF(J48&lt;&gt;K48,(J48*100)&amp;"/"&amp;K48*100,J48*100)))</f>
        <v>#REF!</v>
      </c>
    </row>
    <row r="61" spans="1:11" x14ac:dyDescent="0.2">
      <c r="A61" s="4" t="s">
        <v>30</v>
      </c>
      <c r="B61" s="259" t="e">
        <f t="shared" si="22"/>
        <v>#REF!</v>
      </c>
      <c r="C61" s="259" t="e">
        <f>IF(D4="","",(IF(D49&lt;&gt;E49,(D49*100)&amp;"/"&amp;E49*100,D49*100)))</f>
        <v>#REF!</v>
      </c>
      <c r="D61" s="259" t="e">
        <f>IF(E4="","",(IF(F49&lt;&gt;G49,(F49*100)&amp;"/"&amp;G49*100,F49*100)))</f>
        <v>#REF!</v>
      </c>
      <c r="E61" s="259" t="e">
        <f>IF(F4="","",(IF(H49&lt;&gt;I49,(H49*100)&amp;"/"&amp;I49*100,H49*100)))</f>
        <v>#REF!</v>
      </c>
      <c r="F61" s="259" t="e">
        <f>IF(G4="","",(IF(J49&lt;&gt;K49,(J49*100)&amp;"/"&amp;K49*100,J49*100)))</f>
        <v>#REF!</v>
      </c>
    </row>
    <row r="62" spans="1:11" x14ac:dyDescent="0.2">
      <c r="A62" s="4" t="s">
        <v>20</v>
      </c>
      <c r="B62" s="259" t="e">
        <f t="shared" si="22"/>
        <v>#REF!</v>
      </c>
      <c r="C62" s="259" t="e">
        <f>IF(D4="","",(IF(D50&lt;&gt;E50,(D50*100)&amp;"/"&amp;E50*100,D50*100)))</f>
        <v>#REF!</v>
      </c>
      <c r="D62" s="259" t="e">
        <f>IF(E4="","",(IF(F50&lt;&gt;G50,(F50*100)&amp;"/"&amp;G50*100,F50*100)))</f>
        <v>#REF!</v>
      </c>
      <c r="E62" s="259" t="e">
        <f>IF(F4="","",(IF(H50&lt;&gt;I50,(H50*100)&amp;"/"&amp;I50*100,H50*100)))</f>
        <v>#REF!</v>
      </c>
      <c r="F62" s="259" t="e">
        <f>IF(G4="","",(IF(J50&lt;&gt;K50,(J50*100)&amp;"/"&amp;K50*100,J50*100)))</f>
        <v>#REF!</v>
      </c>
    </row>
    <row r="63" spans="1:11" x14ac:dyDescent="0.2">
      <c r="A63" s="4" t="s">
        <v>31</v>
      </c>
      <c r="B63" s="259" t="e">
        <f t="shared" si="22"/>
        <v>#REF!</v>
      </c>
      <c r="C63" s="259" t="e">
        <f>IF(D4="","",(IF(D51&lt;&gt;E51,(D51*100)&amp;"/"&amp;E51*100,D51*100)))</f>
        <v>#REF!</v>
      </c>
      <c r="D63" s="259" t="e">
        <f>IF(E4="","",(IF(F51&lt;&gt;G51,(F51*100)&amp;"/"&amp;G51*100,F51*100)))</f>
        <v>#REF!</v>
      </c>
      <c r="E63" s="259" t="e">
        <f>IF(F4="","",(IF(H51&lt;&gt;I51,(H51*100)&amp;"/"&amp;I51*100,H51*100)))</f>
        <v>#REF!</v>
      </c>
      <c r="F63" s="259" t="e">
        <f>IF(G4="","",(IF(J51&lt;&gt;K51,(J51*100)&amp;"/"&amp;K51*100,J51*100)))</f>
        <v>#REF!</v>
      </c>
    </row>
    <row r="64" spans="1:11" x14ac:dyDescent="0.2">
      <c r="A64" s="4" t="s">
        <v>19</v>
      </c>
      <c r="B64" s="259" t="e">
        <f t="shared" si="22"/>
        <v>#REF!</v>
      </c>
      <c r="C64" s="259" t="e">
        <f>IF(D4="","",(IF(D4="","",(IF(D52&lt;&gt;E52,(D52*100)&amp;"/"&amp;E52*100,D52*100)))))</f>
        <v>#REF!</v>
      </c>
      <c r="D64" s="259" t="e">
        <f>IF(E4="","",(IF(F52&lt;&gt;G52,(F52*100)&amp;"/"&amp;G52*100,F52*100)))</f>
        <v>#REF!</v>
      </c>
      <c r="E64" s="259" t="e">
        <f>IF(F4="","",(IF(H52&lt;&gt;I52,(H52*100)&amp;"/"&amp;I52*100,H52*100)))</f>
        <v>#REF!</v>
      </c>
      <c r="F64" s="259" t="e">
        <f>IF(G4="","",(IF(J52&lt;&gt;K52,(J52*100)&amp;"/"&amp;K52*100,J52*100)))</f>
        <v>#REF!</v>
      </c>
    </row>
    <row r="65" spans="1:12" x14ac:dyDescent="0.2">
      <c r="A65" s="4" t="s">
        <v>32</v>
      </c>
      <c r="B65" s="259" t="e">
        <f t="shared" si="22"/>
        <v>#REF!</v>
      </c>
      <c r="C65" s="259" t="e">
        <f>IF(D4="","",(IF(D53&lt;&gt;E53,(D53*100)&amp;"/"&amp;E53*100,D53*100)))</f>
        <v>#REF!</v>
      </c>
      <c r="D65" s="259" t="e">
        <f>IF(E4="","",(IF(F53&lt;&gt;G53,(F53*100)&amp;"/"&amp;G53*100,F53*100)))</f>
        <v>#REF!</v>
      </c>
      <c r="E65" s="259" t="e">
        <f>IF(F4="","",(IF(H53&lt;&gt;I53,(H53*100)&amp;"/"&amp;I53*100,H53*100)))</f>
        <v>#REF!</v>
      </c>
      <c r="F65" s="259" t="e">
        <f>IF(G4="","",(IF(J53&lt;&gt;K53,(J53*100)&amp;"/"&amp;K53*100,J53*100)))</f>
        <v>#REF!</v>
      </c>
    </row>
    <row r="66" spans="1:12" x14ac:dyDescent="0.2">
      <c r="A66" s="4" t="s">
        <v>33</v>
      </c>
      <c r="B66" s="259" t="e">
        <f t="shared" si="22"/>
        <v>#REF!</v>
      </c>
      <c r="C66" s="259" t="e">
        <f>IF(D4="","",(IF(D54&lt;&gt;E54,(D54*100)&amp;"/"&amp;E54*100,D54*100)))</f>
        <v>#REF!</v>
      </c>
      <c r="D66" s="259" t="e">
        <f>IF(E4="","",(IF(F54&lt;&gt;G54,(F54*100)&amp;"/"&amp;G54*100,F54*100)))</f>
        <v>#REF!</v>
      </c>
      <c r="E66" s="259" t="e">
        <f>IF(F4="","",(IF(H54&lt;&gt;I54,(H54*100)&amp;"/"&amp;I54*100,H54*100)))</f>
        <v>#REF!</v>
      </c>
      <c r="F66" s="259" t="e">
        <f>IF(G4="","",(IF(J54&lt;&gt;K54,(J54*100)&amp;"/"&amp;K54*100,J54*100)))</f>
        <v>#REF!</v>
      </c>
    </row>
    <row r="67" spans="1:12" x14ac:dyDescent="0.2">
      <c r="A67" s="4" t="s">
        <v>22</v>
      </c>
      <c r="B67" s="259" t="e">
        <f>IF(B55&lt;&gt;C55,(B55*100)&amp;"/"&amp;C55*100,B55*100)</f>
        <v>#REF!</v>
      </c>
      <c r="C67" s="259" t="e">
        <f>IF(D4="","",(IF(D55&lt;&gt;E55,(D55*100)&amp;"/"&amp;E55*100,D55*100)))</f>
        <v>#REF!</v>
      </c>
      <c r="D67" s="259" t="e">
        <f>IF(E4="","",(IF(F55&lt;&gt;G55,(F55*100)&amp;"/"&amp;G55*100,F55*100)))</f>
        <v>#REF!</v>
      </c>
      <c r="E67" s="259" t="e">
        <f>IF(F4="","",(IF(H55&lt;&gt;I55,(H55*100)&amp;"/"&amp;I55*100,H55*100)))</f>
        <v>#REF!</v>
      </c>
      <c r="F67" s="259" t="e">
        <f>IF(G4="","",(IF(J55&lt;&gt;K55,(J55*100)&amp;"/"&amp;K55*100,J55*100)))</f>
        <v>#REF!</v>
      </c>
    </row>
    <row r="68" spans="1:12" x14ac:dyDescent="0.2">
      <c r="A68" s="4" t="s">
        <v>141</v>
      </c>
      <c r="B68" s="259" t="e">
        <f>IF(B56&lt;&gt;C56,(B56*100)&amp;"/"&amp;C56*100,B56*100)</f>
        <v>#REF!</v>
      </c>
      <c r="C68" s="259" t="e">
        <f>IF(D4=0,"",(IF(D56&lt;&gt;E56,(D56*100)&amp;"/"&amp;E56*100,D56*100)))</f>
        <v>#REF!</v>
      </c>
      <c r="D68" s="259" t="e">
        <f>IF(E4=0,"",(IF(F56&lt;&gt;G56,(F56*100)&amp;"/"&amp;G56*100,F56*100)))</f>
        <v>#REF!</v>
      </c>
      <c r="E68" s="259" t="e">
        <f>IF(F4=0,"",(IF(H56&lt;&gt;I56,(H56*100)&amp;"/"&amp;I56*100,H56*100)))</f>
        <v>#REF!</v>
      </c>
      <c r="F68" s="259" t="e">
        <f>IF(G4=0,"",(IF(J56&lt;&gt;K56,(J56*100)&amp;"/"&amp;K56*100,J56*100)))</f>
        <v>#REF!</v>
      </c>
    </row>
    <row r="69" spans="1:12" x14ac:dyDescent="0.2">
      <c r="A69" s="4" t="s">
        <v>142</v>
      </c>
      <c r="B69" s="259" t="e">
        <f>IF(C13&lt;=0.5,C56*100,B68)</f>
        <v>#REF!</v>
      </c>
      <c r="C69" s="259" t="e">
        <f>IF(D13&lt;=0.5,E56*100,C68)</f>
        <v>#REF!</v>
      </c>
      <c r="D69" s="259" t="e">
        <f>IF(E13&lt;=0.5,G56*100,D68)</f>
        <v>#REF!</v>
      </c>
      <c r="E69" s="259" t="e">
        <f>IF(F13&lt;=0.5,I56*100,E68)</f>
        <v>#REF!</v>
      </c>
      <c r="F69" s="259" t="e">
        <f>IF(G13=0.5,K56*100,F68)</f>
        <v>#REF!</v>
      </c>
    </row>
    <row r="70" spans="1:12" x14ac:dyDescent="0.2">
      <c r="A70" s="4" t="s">
        <v>143</v>
      </c>
      <c r="B70" s="259" t="e">
        <f>IF(C13=1,C56*100,B69)</f>
        <v>#REF!</v>
      </c>
      <c r="C70" s="259" t="e">
        <f>IF(D13=1,E56*100,C69)</f>
        <v>#REF!</v>
      </c>
      <c r="D70" s="259" t="e">
        <f>IF(E13=1,G56*100,D69)</f>
        <v>#REF!</v>
      </c>
      <c r="E70" s="259" t="e">
        <f>IF(F13=0.5,I56*100,E69)</f>
        <v>#REF!</v>
      </c>
      <c r="F70" s="259" t="e">
        <f>IF(G13=1,K56*100,F68)</f>
        <v>#REF!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 t="e">
        <f>IF($C$4=$B$74,$B$75,IF($C$4=$C$74,$C$75,IF($C$4=$D$74,$D$75,IF($C$4=$E$74,$E$75,IF($C$4=$F$74,$F$75,IF($C$4=$G$74,$G$75,IF($C$4=$H$74,$H$75,IF($C$4=$I$74,$I$75,IF($C$4=$J$74,$J$75,IF($C$4=$K$74,$K$75,IF($C$4=$L$74,$L$75,L75)))))))))))</f>
        <v>#REF!</v>
      </c>
      <c r="C86" s="4" t="e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#REF!</v>
      </c>
      <c r="D86" s="4" t="e">
        <f>IF($D$4=$B$74,$B$75,IF($D$4=$C$74,$C$75,IF($D$4=$D$74,$D$75,IF($D$4=$E$74,$E$75,IF($D$4=$F$74,$F$75,IF($D$4=$G$74,$G$75,IF($D$4=$H$74,$H$75,IF($D$4=$I$74,$I$75,IF($D$4=$J$74,$J$75,IF($D$4=$K$74,$K$75,IF($D$4=$L$74,$L$75,L75)))))))))))</f>
        <v>#REF!</v>
      </c>
      <c r="E86" s="4" t="e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#REF!</v>
      </c>
      <c r="F86" s="4" t="e">
        <f>IF($E$4=$B$74,$B$75,IF($E$4=$C$74,$C$75,IF($E$4=$D$74,$D$75,IF($E$4=$E$74,$E$75,IF($E$4=$F$74,$F$75,IF($E$4=$G$74,$G$75,IF($E$4=$H$74,$H$75,IF($E$4=$I$74,$I$75,IF($E$4=$J$74,$J$75,IF($E$4=$K$74,$K$75,IF($E$4=$L$74,$L$75,L75)))))))))))</f>
        <v>#REF!</v>
      </c>
      <c r="G86" s="4" t="e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#REF!</v>
      </c>
      <c r="H86" s="4" t="e">
        <f>IF($F$4=$B$74,$B$75,IF($F$4=$C$74,$C$75,IF($F$4=$D$74,$D$75,IF($F$4=$E$74,$E$75,IF($F$4=$F$74,$F$75,IF($F$4=$G$74,$G$75,IF($F$4=$H$74,$H$75,IF($F$4=$I$74,$I$75,IF($F$4=$J$74,$J$75,IF($F$4=$K$74,$K$75,IF($F$4=$L$74,$L$75,L75)))))))))))</f>
        <v>#REF!</v>
      </c>
      <c r="I86" s="4" t="e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#REF!</v>
      </c>
      <c r="J86" s="4" t="e">
        <f>IF($G$4=$B$74,$B$75,IF($G$4=$C$74,$C$75,IF($G$4=$D$74,$D$75,IF($G$4=$E$74,$E$75,IF($G$4=$F$74,$F$75,IF($G$4=$G$74,$G$75,IF($G$4=$H$74,$H$75,IF($G$4=$I$74,$I$75,IF($G$4=$J$74,$J$75,IF($G$4=$K$74,$K$75,IF($G$4=$L$74,$L$75,L75)))))))))))</f>
        <v>#REF!</v>
      </c>
      <c r="K86" s="4" t="e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#REF!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 t="e">
        <f>IF($C$4=$B$74,$B$77,IF($C$4=$C$74,$C$77,IF($C$4=$D$74,$D$77,IF($C$4=$E$74,$E$77,IF($C$4=$F$74,$F$77,IF($C$4=$G$74,$G$77,IF($C$4=$H$74,$H$77,IF($C$4=$I$74,$I$77,IF($C$4=$J$74,$J$77,IF($C$4=$K$74,$K$77,IF($C$4=$L$74,$L$77,L77)))))))))))</f>
        <v>#REF!</v>
      </c>
      <c r="C88" s="4" t="e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#REF!</v>
      </c>
      <c r="D88" s="4" t="e">
        <f>IF($D$4=$B$74,$B$77,IF($D$4=$C$74,$C$77,IF($D$4=$D$74,$D$77,IF($D$4=$E$74,$E$77,IF($D$4=$F$74,$F$77,IF($D$4=$G$74,$G$77,IF($D$4=$H$74,$H$77,IF($D$4=$I$74,$I$77,IF($D$4=$J$74,$J$77,IF($D$4=$K$74,$K$77,IF($D$4=$L$74,$L$75,L77)))))))))))</f>
        <v>#REF!</v>
      </c>
      <c r="E88" s="4" t="e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#REF!</v>
      </c>
      <c r="F88" s="4" t="e">
        <f>IF($E$4=$B$74,$B$77,IF($E$4=$C$74,$C$77,IF($E$4=$D$74,$D$77,IF($E$4=$E$74,$E$77,IF($E$4=$F$74,$F$77,IF($E$4=$G$74,$G$77,IF($E$4=$H$74,$H$77,IF($E$4=$I$74,$I$77,IF($E$4=$J$74,$J$77,IF($E$4=$K$74,$K$77,IF($E$4=$L$74,$L$77,L77)))))))))))</f>
        <v>#REF!</v>
      </c>
      <c r="G88" s="4" t="e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#REF!</v>
      </c>
      <c r="H88" s="4" t="e">
        <f>IF($F$4=$B$74,$B$77,IF($F$4=$C$74,$C$77,IF($F$4=$D$74,$D$77,IF($F$4=$E$74,$E$77,IF($F$4=$F$74,$F$77,IF($F$4=$G$74,$G$77,IF($F$4=$H$74,$H$77,IF($F$4=$I$74,$I$77,IF($F$4=$J$74,$J$77,IF($F$4=$K$74,$K$77,IF($F$4=$L$74,$L$77,L77)))))))))))</f>
        <v>#REF!</v>
      </c>
      <c r="I88" s="4" t="e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#REF!</v>
      </c>
      <c r="J88" s="4" t="e">
        <f>IF($G$4=$B$74,$B$77,IF($G$4=$C$74,$C$77,IF($G$4=$D$74,$D$77,IF($G$4=$E$74,$E$77,IF($G$4=$F$74,$F$77,IF($G$4=$G$74,$G$77,IF($G$4=$H$74,$H$77,IF($G$4=$I$74,$I$77,IF($G$4=$J$74,$J$77,IF($G$4=$K$74,$K$77,IF($G$4=$L$74,$L$75,L77)))))))))))</f>
        <v>#REF!</v>
      </c>
      <c r="K88" s="4" t="e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#REF!</v>
      </c>
    </row>
    <row r="89" spans="1:12" x14ac:dyDescent="0.2">
      <c r="A89" s="4" t="s">
        <v>91</v>
      </c>
      <c r="B89" s="4" t="e">
        <f>IF($C$4=$B$74,$B$78,IF($C$4=$C$74,$C$78,$D$78))</f>
        <v>#REF!</v>
      </c>
      <c r="C89" s="4" t="e">
        <f>IF($C$7=0,$B$89,IF($C$4=$B$74,$C$78,$D$78))</f>
        <v>#REF!</v>
      </c>
      <c r="D89" s="4" t="e">
        <f>IF($D$4=$B$74,$B$78,IF($D$4=$C$74,$C$78,$D$78))</f>
        <v>#REF!</v>
      </c>
      <c r="E89" s="4" t="e">
        <f>IF($D$7=0,$D$89,IF($D$4=$B$74,$C$78,$D$78))</f>
        <v>#REF!</v>
      </c>
      <c r="F89" s="4" t="e">
        <f>IF($E$4=$B$74,$B$78,IF($E$4=$C$74,$C$78,$D$78))</f>
        <v>#REF!</v>
      </c>
      <c r="G89" s="4" t="e">
        <f>IF($E$7=0,$F$89,IF($E$4=$B$74,$C$78,$D$78))</f>
        <v>#REF!</v>
      </c>
      <c r="H89" s="4" t="e">
        <f>IF($F$4=$B$74,$B$78,IF($F$4=$C$74,$C$78,$D$78))</f>
        <v>#REF!</v>
      </c>
      <c r="I89" s="4" t="e">
        <f>IF($F$7=0,$H$89,IF($F$4=$B$74,$C$78,$D$78))</f>
        <v>#REF!</v>
      </c>
      <c r="J89" s="4" t="e">
        <f>IF($G$4=$B$74,$B$78,IF($G$4=$C$74,$C$78,$D$78))</f>
        <v>#REF!</v>
      </c>
      <c r="K89" s="4" t="e">
        <f>IF($G$7=0,$J$89,IF($G$4=$B$74,$C$78,$D$78))</f>
        <v>#REF!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 t="e">
        <f>#REF!</f>
        <v>#REF!</v>
      </c>
      <c r="C91" s="26" t="e">
        <f>#REF!</f>
        <v>#REF!</v>
      </c>
      <c r="D91" s="26" t="e">
        <f>#REF!</f>
        <v>#REF!</v>
      </c>
      <c r="E91" s="26" t="e">
        <f>#REF!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 t="e">
        <f>IF(#REF!='W8'!A86,'W8'!B86,IF(#REF!='W8'!A87,'W8'!B87,IF(#REF!='W8'!A88,'W8'!B88,IF(#REF!='W8'!A89,'W8'!B89,IF(#REF!='W8'!A90,'W8'!B90,IF(#REF!='W8'!A91,'W8'!B91))))))</f>
        <v>#REF!</v>
      </c>
      <c r="C97" s="37" t="e">
        <f>IF(#REF!='W8'!A86,'W8'!C86,IF(#REF!='W8'!A87,'W8'!C87,IF(#REF!='W8'!A88,'W8'!C88,IF(#REF!='W8'!A89,'W8'!C89,IF(#REF!='W8'!A90,'W8'!C90,IF(#REF!='W8'!A91,'W8'!C91))))))</f>
        <v>#REF!</v>
      </c>
      <c r="D97" s="37" t="e">
        <f>IF(#REF!='W8'!$A$86,'W8'!D86,IF(#REF!='W8'!$A$87,'W8'!D87,IF(#REF!='W8'!$A$88,'W8'!D88,IF(#REF!='W8'!$A$89,'W8'!D89,IF(#REF!='W8'!$A$90,'W8'!D90,IF(#REF!='W8'!$A$91,'W8'!D91))))))</f>
        <v>#REF!</v>
      </c>
      <c r="E97" s="37" t="e">
        <f>IF(#REF!='W8'!$A$86,'W8'!E86,IF(#REF!='W8'!$A$87,'W8'!E87,IF(#REF!='W8'!$A$88,'W8'!E88,IF(#REF!='W8'!$A$89,'W8'!E89,IF(#REF!='W8'!$A$90,'W8'!E90,IF(#REF!='W8'!$A$91,'W8'!E91))))))</f>
        <v>#REF!</v>
      </c>
      <c r="F97" s="37" t="e">
        <f>IF(#REF!='W8'!$A$86,'W8'!F86,IF(#REF!='W8'!$A$87,'W8'!F87,IF(#REF!='W8'!$A$88,'W8'!F88,IF(#REF!='W8'!$A$89,'W8'!F89,IF(#REF!='W8'!$A$90,'W8'!F90,IF(#REF!='W8'!$A$91,'W8'!F91))))))</f>
        <v>#REF!</v>
      </c>
      <c r="G97" s="37" t="e">
        <f>IF(#REF!='W8'!$A$86,'W8'!G86,IF(#REF!='W8'!$A$87,'W8'!G87,IF(#REF!='W8'!$A$88,'W8'!G88,IF(#REF!='W8'!$A$89,'W8'!G89,IF(#REF!='W8'!$A$90,'W8'!G90,IF(#REF!='W8'!$A$91,'W8'!G91))))))</f>
        <v>#REF!</v>
      </c>
      <c r="H97" s="37" t="e">
        <f>IF(#REF!='W8'!$A$86,'W8'!H86,IF(#REF!='W8'!$A$87,'W8'!H87,IF(#REF!='W8'!$A$88,'W8'!H88,IF(#REF!='W8'!$A$89,'W8'!H89,IF(#REF!='W8'!$A$90,'W8'!H90,IF(#REF!='W8'!$A$91,'W8'!H91))))))</f>
        <v>#REF!</v>
      </c>
      <c r="I97" s="37" t="e">
        <f>IF(#REF!='W8'!$A$86,'W8'!I86,IF(#REF!='W8'!$A$87,'W8'!I87,IF(#REF!='W8'!$A$88,'W8'!I88,IF(#REF!='W8'!$A$89,'W8'!I89,IF(#REF!='W8'!$A$90,'W8'!I90,IF(#REF!='W8'!$A$91,'W8'!I91))))))</f>
        <v>#REF!</v>
      </c>
      <c r="J97" s="37" t="e">
        <f>IF(#REF!='W8'!$A$86,'W8'!J86,IF(#REF!='W8'!$A$87,'W8'!J87,IF(#REF!='W8'!$A$88,'W8'!J88,IF(#REF!='W8'!$A$89,'W8'!J89,IF(#REF!='W8'!$A$90,'W8'!J90,IF(#REF!='W8'!$A$91,'W8'!J91))))))</f>
        <v>#REF!</v>
      </c>
      <c r="K97" s="37" t="e">
        <f>IF(#REF!='W8'!$A$86,'W8'!K86,IF(#REF!='W8'!$A$87,'W8'!K87,IF(#REF!='W8'!$A$88,'W8'!K88,IF(#REF!='W8'!$A$89,'W8'!K89,IF(#REF!='W8'!$A$90,'W8'!K90,IF(#REF!='W8'!$A$91,'W8'!K91))))))</f>
        <v>#REF!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e">
        <f>IF(B97=C97,B97*100&amp;"%",B97*100&amp;"%"&amp;"/"&amp;C97*100&amp;"%")</f>
        <v>#REF!</v>
      </c>
      <c r="C99" s="314"/>
      <c r="D99" s="314" t="e">
        <f>IF(D97=E97,D97*100&amp;"%",D97*100&amp;"%"&amp;"/"&amp;E97*100&amp;"%")</f>
        <v>#REF!</v>
      </c>
      <c r="E99" s="314"/>
      <c r="F99" s="314" t="e">
        <f>IF(F97=G97,F97*100&amp;"%",F97*100&amp;"%"&amp;"/"&amp;G97*100&amp;"%")</f>
        <v>#REF!</v>
      </c>
      <c r="G99" s="314"/>
      <c r="H99" s="307" t="e">
        <f>IF(H97=I97,H97*100&amp;"%",H97*100&amp;"%"&amp;"/"&amp;I97*100&amp;"%")</f>
        <v>#REF!</v>
      </c>
      <c r="I99" s="308"/>
      <c r="J99" s="307" t="e">
        <f>IF(J97=K97,J97*100&amp;"%",J97*100&amp;"%"&amp;"/"&amp;K97*100&amp;"%")</f>
        <v>#REF!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 t="e">
        <f>#REF!</f>
        <v>#REF!</v>
      </c>
      <c r="B104" s="4" t="e">
        <f>IF(#REF!="non-UC","No","Yes")</f>
        <v>#REF!</v>
      </c>
      <c r="C104" s="4" t="e">
        <f>#REF!+(IF(#REF!="IC of Above",#REF!,0))</f>
        <v>#REF!</v>
      </c>
      <c r="D104" s="4" t="e">
        <f>#REF!+(IF(#REF!="IC of Above",#REF!,0))</f>
        <v>#REF!</v>
      </c>
      <c r="E104" s="4" t="e">
        <f>#REF!+(IF(#REF!="IC of Above",#REF!,0))</f>
        <v>#REF!</v>
      </c>
      <c r="F104" s="4" t="e">
        <f>#REF!+(IF(#REF!="IC of Above",#REF!,0))</f>
        <v>#REF!</v>
      </c>
      <c r="G104" s="4" t="e">
        <f>#REF!+(IF(#REF!="IC of Above",#REF!,0))</f>
        <v>#REF!</v>
      </c>
      <c r="H104" s="4" t="e">
        <f t="shared" ref="H104:H118" si="23">SUM(C104:G104)</f>
        <v>#REF!</v>
      </c>
    </row>
    <row r="105" spans="1:11" x14ac:dyDescent="0.2">
      <c r="A105" s="40" t="e">
        <f>#REF!</f>
        <v>#REF!</v>
      </c>
      <c r="B105" s="4" t="e">
        <f>IF(#REF!="non-UC","No",IF(#REF!="IC of Above","Yes","Yes"))</f>
        <v>#REF!</v>
      </c>
      <c r="C105" s="4" t="e">
        <f>IF(#REF!="IC of Above",0,#REF!+IF(#REF!="IC of Above",#REF!,0))</f>
        <v>#REF!</v>
      </c>
      <c r="D105" s="4" t="e">
        <f>IF(#REF!="IC of Above",0,#REF!+IF(#REF!="IC of Above",#REF!,0))</f>
        <v>#REF!</v>
      </c>
      <c r="E105" s="4" t="e">
        <f>IF(#REF!="IC of Above",0,#REF!+IF(#REF!="IC of Above",#REF!,0))</f>
        <v>#REF!</v>
      </c>
      <c r="F105" s="4" t="e">
        <f>IF(#REF!="IC of Above",0,#REF!+IF(#REF!="IC of Above",#REF!,0))</f>
        <v>#REF!</v>
      </c>
      <c r="G105" s="4" t="e">
        <f>IF(#REF!="IC of Above",0,#REF!+IF(#REF!="IC of Above",#REF!,0))</f>
        <v>#REF!</v>
      </c>
      <c r="H105" s="4" t="e">
        <f t="shared" si="23"/>
        <v>#REF!</v>
      </c>
    </row>
    <row r="106" spans="1:11" x14ac:dyDescent="0.2">
      <c r="A106" s="40" t="e">
        <f>#REF!</f>
        <v>#REF!</v>
      </c>
      <c r="B106" s="4" t="e">
        <f>IF(#REF!="non-UC","No","Yes")</f>
        <v>#REF!</v>
      </c>
      <c r="C106" s="4" t="e">
        <f>IF(#REF!="IC of Above",0,#REF!+IF(#REF!="IC of Above",#REF!,0))</f>
        <v>#REF!</v>
      </c>
      <c r="D106" s="4" t="e">
        <f>IF(#REF!="IC of Above",0,#REF!+IF(#REF!="IC of Above",#REF!,0))</f>
        <v>#REF!</v>
      </c>
      <c r="E106" s="4" t="e">
        <f>IF(#REF!="IC of Above",0,#REF!+IF(#REF!="IC of Above",#REF!,0))</f>
        <v>#REF!</v>
      </c>
      <c r="F106" s="4" t="e">
        <f>IF(#REF!="IC of Above",0,#REF!+IF(#REF!="IC of Above",#REF!,0))</f>
        <v>#REF!</v>
      </c>
      <c r="G106" s="4" t="e">
        <f>IF(#REF!="IC of Above",0,#REF!+IF(#REF!="IC of Above",#REF!,0))</f>
        <v>#REF!</v>
      </c>
      <c r="H106" s="4" t="e">
        <f t="shared" si="23"/>
        <v>#REF!</v>
      </c>
    </row>
    <row r="107" spans="1:11" x14ac:dyDescent="0.2">
      <c r="A107" s="40" t="e">
        <f>#REF!</f>
        <v>#REF!</v>
      </c>
      <c r="B107" s="4" t="e">
        <f>IF(#REF!="non-UC","No","Yes")</f>
        <v>#REF!</v>
      </c>
      <c r="C107" s="4" t="e">
        <f>IF(#REF!="IC of Above",0,#REF!+IF(#REF!="IC of Above",#REF!,0))</f>
        <v>#REF!</v>
      </c>
      <c r="D107" s="4" t="e">
        <f>IF(#REF!="IC of Above",0,#REF!+IF(#REF!="IC of Above",#REF!,0))</f>
        <v>#REF!</v>
      </c>
      <c r="E107" s="4" t="e">
        <f>IF(#REF!="IC of Above",0,#REF!+IF(#REF!="IC of Above",#REF!,0))</f>
        <v>#REF!</v>
      </c>
      <c r="F107" s="4" t="e">
        <f>IF(#REF!="IC of Above",0,#REF!+IF(#REF!="IC of Above",#REF!,0))</f>
        <v>#REF!</v>
      </c>
      <c r="G107" s="4" t="e">
        <f>IF(#REF!="IC of Above",0,#REF!+IF(#REF!="IC of Above",#REF!,0))</f>
        <v>#REF!</v>
      </c>
      <c r="H107" s="4" t="e">
        <f t="shared" si="23"/>
        <v>#REF!</v>
      </c>
    </row>
    <row r="108" spans="1:11" x14ac:dyDescent="0.2">
      <c r="A108" s="40" t="e">
        <f>#REF!</f>
        <v>#REF!</v>
      </c>
      <c r="B108" s="4" t="e">
        <f>IF(#REF!="non-UC","No","Yes")</f>
        <v>#REF!</v>
      </c>
      <c r="C108" s="4" t="e">
        <f>IF(#REF!="IC of Above",0,#REF!+IF(#REF!="IC of Above",#REF!,0))</f>
        <v>#REF!</v>
      </c>
      <c r="D108" s="4" t="e">
        <f>IF(#REF!="IC of Above",0,#REF!+IF(#REF!="IC of Above",#REF!,0))</f>
        <v>#REF!</v>
      </c>
      <c r="E108" s="4" t="e">
        <f>IF(#REF!="IC of Above",0,#REF!+IF(#REF!="IC of Above",#REF!,0))</f>
        <v>#REF!</v>
      </c>
      <c r="F108" s="4" t="e">
        <f>IF(#REF!="IC of Above",0,#REF!+IF(#REF!="IC of Above",#REF!,0))</f>
        <v>#REF!</v>
      </c>
      <c r="G108" s="4" t="e">
        <f>IF(#REF!="IC of Above",0,#REF!+IF(#REF!="IC of Above",#REF!,0))</f>
        <v>#REF!</v>
      </c>
      <c r="H108" s="4" t="e">
        <f t="shared" si="23"/>
        <v>#REF!</v>
      </c>
    </row>
    <row r="109" spans="1:11" x14ac:dyDescent="0.2">
      <c r="A109" s="40" t="e">
        <f>#REF!</f>
        <v>#REF!</v>
      </c>
      <c r="B109" s="4" t="e">
        <f>IF(#REF!="non-UC","No","Yes")</f>
        <v>#REF!</v>
      </c>
      <c r="C109" s="4" t="e">
        <f>IF(#REF!="IC of Above",0,#REF!+IF(#REF!="IC of Above",#REF!,0))</f>
        <v>#REF!</v>
      </c>
      <c r="D109" s="4" t="e">
        <f>IF(#REF!="IC of Above",0,#REF!+IF(#REF!="IC of Above",#REF!,0))</f>
        <v>#REF!</v>
      </c>
      <c r="E109" s="4" t="e">
        <f>IF(#REF!="IC of Above",0,#REF!+IF(#REF!="IC of Above",#REF!,0))</f>
        <v>#REF!</v>
      </c>
      <c r="F109" s="4" t="e">
        <f>IF(#REF!="IC of Above",0,#REF!+IF(#REF!="IC of Above",#REF!,0))</f>
        <v>#REF!</v>
      </c>
      <c r="G109" s="4" t="e">
        <f>IF(#REF!="IC of Above",0,#REF!+IF(#REF!="IC of Above",#REF!,0))</f>
        <v>#REF!</v>
      </c>
      <c r="H109" s="4" t="e">
        <f t="shared" si="23"/>
        <v>#REF!</v>
      </c>
    </row>
    <row r="110" spans="1:11" x14ac:dyDescent="0.2">
      <c r="A110" s="40" t="e">
        <f>#REF!</f>
        <v>#REF!</v>
      </c>
      <c r="B110" s="4" t="e">
        <f>IF(#REF!="non-UC","No","Yes")</f>
        <v>#REF!</v>
      </c>
      <c r="C110" s="4" t="e">
        <f>IF(#REF!="IC of Above",0,#REF!+IF(#REF!="IC of Above",#REF!,0))</f>
        <v>#REF!</v>
      </c>
      <c r="D110" s="4" t="e">
        <f>IF(#REF!="IC of Above",0,#REF!+IF(#REF!="IC of Above",#REF!,0))</f>
        <v>#REF!</v>
      </c>
      <c r="E110" s="4" t="e">
        <f>IF(#REF!="IC of Above",0,#REF!+IF(#REF!="IC of Above",#REF!,0))</f>
        <v>#REF!</v>
      </c>
      <c r="F110" s="4" t="e">
        <f>IF(#REF!="IC of Above",0,#REF!+IF(#REF!="IC of Above",#REF!,0))</f>
        <v>#REF!</v>
      </c>
      <c r="G110" s="4" t="e">
        <f>IF(#REF!="IC of Above",0,#REF!+IF(#REF!="IC of Above",#REF!,0))</f>
        <v>#REF!</v>
      </c>
      <c r="H110" s="4" t="e">
        <f t="shared" si="23"/>
        <v>#REF!</v>
      </c>
    </row>
    <row r="111" spans="1:11" x14ac:dyDescent="0.2">
      <c r="A111" s="40" t="e">
        <f>#REF!</f>
        <v>#REF!</v>
      </c>
      <c r="B111" s="4" t="e">
        <f>IF(#REF!="non-UC","No","Yes")</f>
        <v>#REF!</v>
      </c>
      <c r="C111" s="4" t="e">
        <f>IF(#REF!="IC of Above",0,#REF!+IF(#REF!="IC of Above",#REF!,0))</f>
        <v>#REF!</v>
      </c>
      <c r="D111" s="4" t="e">
        <f>IF(#REF!="IC of Above",0,#REF!+IF(#REF!="IC of Above",#REF!,0))</f>
        <v>#REF!</v>
      </c>
      <c r="E111" s="4" t="e">
        <f>IF(#REF!="IC of Above",0,#REF!+IF(#REF!="IC of Above",#REF!,0))</f>
        <v>#REF!</v>
      </c>
      <c r="F111" s="4" t="e">
        <f>IF(#REF!="IC of Above",0,#REF!+IF(#REF!="IC of Above",#REF!,0))</f>
        <v>#REF!</v>
      </c>
      <c r="G111" s="4" t="e">
        <f>IF(#REF!="IC of Above",0,#REF!+IF(#REF!="IC of Above",#REF!,0))</f>
        <v>#REF!</v>
      </c>
      <c r="H111" s="4" t="e">
        <f t="shared" si="23"/>
        <v>#REF!</v>
      </c>
    </row>
    <row r="112" spans="1:11" x14ac:dyDescent="0.2">
      <c r="A112" s="40" t="e">
        <f>#REF!</f>
        <v>#REF!</v>
      </c>
      <c r="B112" s="4" t="e">
        <f>IF(#REF!="non-UC","No","Yes")</f>
        <v>#REF!</v>
      </c>
      <c r="C112" s="4" t="e">
        <f>IF(#REF!="IC of Above",0,#REF!+IF(#REF!="IC of Above",#REF!,0))</f>
        <v>#REF!</v>
      </c>
      <c r="D112" s="4" t="e">
        <f>IF(#REF!="IC of Above",0,#REF!+IF(#REF!="IC of Above",#REF!,0))</f>
        <v>#REF!</v>
      </c>
      <c r="E112" s="4" t="e">
        <f>IF(#REF!="IC of Above",0,#REF!+IF(#REF!="IC of Above",#REF!,0))</f>
        <v>#REF!</v>
      </c>
      <c r="F112" s="4" t="e">
        <f>IF(#REF!="IC of Above",0,#REF!+IF(#REF!="IC of Above",#REF!,0))</f>
        <v>#REF!</v>
      </c>
      <c r="G112" s="4" t="e">
        <f>IF(#REF!="IC of Above",0,#REF!+IF(#REF!="IC of Above",#REF!,0))</f>
        <v>#REF!</v>
      </c>
      <c r="H112" s="4" t="e">
        <f t="shared" si="23"/>
        <v>#REF!</v>
      </c>
    </row>
    <row r="113" spans="1:8" x14ac:dyDescent="0.2">
      <c r="A113" s="40" t="e">
        <f>#REF!</f>
        <v>#REF!</v>
      </c>
      <c r="B113" s="4" t="e">
        <f>IF(#REF!="non-UC","No","Yes")</f>
        <v>#REF!</v>
      </c>
      <c r="C113" s="4" t="e">
        <f>IF(#REF!="IC of Above",0,#REF!+IF(#REF!="IC of Above",#REF!,0))</f>
        <v>#REF!</v>
      </c>
      <c r="D113" s="4" t="e">
        <f>IF(#REF!="IC of Above",0,#REF!+IF(#REF!="IC of Above",#REF!,0))</f>
        <v>#REF!</v>
      </c>
      <c r="E113" s="4" t="e">
        <f>IF(#REF!="IC of Above",0,#REF!+IF(#REF!="IC of Above",#REF!,0))</f>
        <v>#REF!</v>
      </c>
      <c r="F113" s="4" t="e">
        <f>IF(#REF!="IC of Above",0,#REF!+IF(#REF!="IC of Above",#REF!,0))</f>
        <v>#REF!</v>
      </c>
      <c r="G113" s="4" t="e">
        <f>IF(#REF!="IC of Above",0,#REF!+IF(#REF!="IC of Above",#REF!,0))</f>
        <v>#REF!</v>
      </c>
      <c r="H113" s="4" t="e">
        <f t="shared" si="23"/>
        <v>#REF!</v>
      </c>
    </row>
    <row r="114" spans="1:8" x14ac:dyDescent="0.2">
      <c r="A114" s="40" t="e">
        <f>#REF!</f>
        <v>#REF!</v>
      </c>
      <c r="B114" s="4" t="e">
        <f>IF(#REF!="non-UC","No","Yes")</f>
        <v>#REF!</v>
      </c>
      <c r="C114" s="4" t="e">
        <f>IF(#REF!="IC of Above",0,#REF!+IF(#REF!="IC of Above",#REF!,0))</f>
        <v>#REF!</v>
      </c>
      <c r="D114" s="4" t="e">
        <f>IF(#REF!="IC of Above",0,#REF!+IF(#REF!="IC of Above",#REF!,0))</f>
        <v>#REF!</v>
      </c>
      <c r="E114" s="4" t="e">
        <f>IF(#REF!="IC of Above",0,#REF!+IF(#REF!="IC of Above",#REF!,0))</f>
        <v>#REF!</v>
      </c>
      <c r="F114" s="4" t="e">
        <f>IF(#REF!="IC of Above",0,#REF!+IF(#REF!="IC of Above",#REF!,0))</f>
        <v>#REF!</v>
      </c>
      <c r="G114" s="4" t="e">
        <f>IF(#REF!="IC of Above",0,#REF!+IF(#REF!="IC of Above",#REF!,0))</f>
        <v>#REF!</v>
      </c>
      <c r="H114" s="4" t="e">
        <f t="shared" si="23"/>
        <v>#REF!</v>
      </c>
    </row>
    <row r="115" spans="1:8" x14ac:dyDescent="0.2">
      <c r="A115" s="40" t="e">
        <f>#REF!</f>
        <v>#REF!</v>
      </c>
      <c r="B115" s="4" t="e">
        <f>IF(#REF!="non-UC","No","Yes")</f>
        <v>#REF!</v>
      </c>
      <c r="C115" s="4" t="e">
        <f>IF(#REF!="IC of Above",0,#REF!+IF(#REF!="IC of Above",#REF!,0))</f>
        <v>#REF!</v>
      </c>
      <c r="D115" s="4" t="e">
        <f>IF(#REF!="IC of Above",0,#REF!+IF(#REF!="IC of Above",#REF!,0))</f>
        <v>#REF!</v>
      </c>
      <c r="E115" s="4" t="e">
        <f>IF(#REF!="IC of Above",0,#REF!+IF(#REF!="IC of Above",#REF!,0))</f>
        <v>#REF!</v>
      </c>
      <c r="F115" s="4" t="e">
        <f>IF(#REF!="IC of Above",0,#REF!+IF(#REF!="IC of Above",#REF!,0))</f>
        <v>#REF!</v>
      </c>
      <c r="G115" s="4" t="e">
        <f>IF(#REF!="IC of Above",0,#REF!+IF(#REF!="IC of Above",#REF!,0))</f>
        <v>#REF!</v>
      </c>
      <c r="H115" s="4" t="e">
        <f t="shared" si="23"/>
        <v>#REF!</v>
      </c>
    </row>
    <row r="116" spans="1:8" x14ac:dyDescent="0.2">
      <c r="A116" s="40" t="e">
        <f>#REF!</f>
        <v>#REF!</v>
      </c>
      <c r="B116" s="4" t="e">
        <f>IF(#REF!="non-UC","No","Yes")</f>
        <v>#REF!</v>
      </c>
      <c r="C116" s="4" t="e">
        <f>IF(#REF!="IC of Above",0,#REF!+IF(#REF!="IC of Above",#REF!,0))</f>
        <v>#REF!</v>
      </c>
      <c r="D116" s="4" t="e">
        <f>IF(#REF!="IC of Above",0,#REF!+IF(#REF!="IC of Above",#REF!,0))</f>
        <v>#REF!</v>
      </c>
      <c r="E116" s="4" t="e">
        <f>IF(#REF!="IC of Above",0,#REF!+IF(#REF!="IC of Above",#REF!,0))</f>
        <v>#REF!</v>
      </c>
      <c r="F116" s="4" t="e">
        <f>IF(#REF!="IC of Above",0,#REF!+IF(#REF!="IC of Above",#REF!,0))</f>
        <v>#REF!</v>
      </c>
      <c r="G116" s="4" t="e">
        <f>IF(#REF!="IC of Above",0,#REF!+IF(#REF!="IC of Above",#REF!,0))</f>
        <v>#REF!</v>
      </c>
      <c r="H116" s="4" t="e">
        <f t="shared" si="23"/>
        <v>#REF!</v>
      </c>
    </row>
    <row r="117" spans="1:8" x14ac:dyDescent="0.2">
      <c r="A117" s="40" t="e">
        <f>#REF!</f>
        <v>#REF!</v>
      </c>
      <c r="B117" s="4" t="e">
        <f>IF(#REF!="non-UC","No","Yes")</f>
        <v>#REF!</v>
      </c>
      <c r="C117" s="4" t="e">
        <f>IF(#REF!="IC of Above",0,#REF!+IF(#REF!="IC of Above",#REF!,0))</f>
        <v>#REF!</v>
      </c>
      <c r="D117" s="4" t="e">
        <f>IF(#REF!="IC of Above",0,#REF!+IF(#REF!="IC of Above",#REF!,0))</f>
        <v>#REF!</v>
      </c>
      <c r="E117" s="4" t="e">
        <f>IF(#REF!="IC of Above",0,#REF!+IF(#REF!="IC of Above",#REF!,0))</f>
        <v>#REF!</v>
      </c>
      <c r="F117" s="4" t="e">
        <f>IF(#REF!="IC of Above",0,#REF!+IF(#REF!="IC of Above",#REF!,0))</f>
        <v>#REF!</v>
      </c>
      <c r="G117" s="4" t="e">
        <f>IF(#REF!="IC of Above",0,#REF!+IF(#REF!="IC of Above",#REF!,0))</f>
        <v>#REF!</v>
      </c>
      <c r="H117" s="4" t="e">
        <f t="shared" si="23"/>
        <v>#REF!</v>
      </c>
    </row>
    <row r="118" spans="1:8" x14ac:dyDescent="0.2">
      <c r="A118" s="40" t="e">
        <f>#REF!</f>
        <v>#REF!</v>
      </c>
      <c r="B118" s="4" t="e">
        <f>IF(#REF!="non-UC","No","Yes")</f>
        <v>#REF!</v>
      </c>
      <c r="C118" s="4" t="e">
        <f>IF(#REF!="IC of Above",0,#REF!+IF(#REF!="IC of Above",#REF!,0))</f>
        <v>#REF!</v>
      </c>
      <c r="D118" s="4" t="e">
        <f>IF(#REF!="IC of Above",0,#REF!+IF(#REF!="IC of Above",#REF!,0))</f>
        <v>#REF!</v>
      </c>
      <c r="E118" s="4" t="e">
        <f>IF(#REF!="IC of Above",0,#REF!+IF(#REF!="IC of Above",#REF!,0))</f>
        <v>#REF!</v>
      </c>
      <c r="F118" s="4" t="e">
        <f>IF(#REF!="IC of Above",0,#REF!+IF(#REF!="IC of Above",#REF!,0))</f>
        <v>#REF!</v>
      </c>
      <c r="G118" s="4" t="e">
        <f>IF(#REF!="IC of Above",0,#REF!+IF(#REF!="IC of Above",#REF!,0))</f>
        <v>#REF!</v>
      </c>
      <c r="H118" s="4" t="e">
        <f t="shared" si="23"/>
        <v>#REF!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 t="e">
        <f>#REF!</f>
        <v>#REF!</v>
      </c>
      <c r="B121" s="4" t="e">
        <f>IF(#REF!="non-UC","No","Yes")</f>
        <v>#REF!</v>
      </c>
      <c r="C121" s="4" t="e">
        <f>IF(B104="Yes",0,(IF(C104&gt;25000,25000,C104)))</f>
        <v>#REF!</v>
      </c>
      <c r="D121" s="4" t="e">
        <f t="shared" ref="D121:D135" si="24">IF(B121="Yes",0,IF(C104&gt;=25000,0,IF(C104+D104&gt;=25000,25000-C104,D104)))</f>
        <v>#REF!</v>
      </c>
      <c r="E121" s="4" t="e">
        <f t="shared" ref="E121:E135" si="25">IF(B121="Yes",0,IF((C104+D104)&gt;=25000,0,IF((C104+D104+E104)&gt;=25000,25000-C104-D104,E104)))</f>
        <v>#REF!</v>
      </c>
      <c r="F121" s="4" t="e">
        <f t="shared" ref="F121:F135" si="26">IF(B121="Yes",0,IF((C104+D104+E104)&gt;=25000,0,IF((C104+D104+E104+F104)&gt;=25000,25000-C104-D104-E104,F104)))</f>
        <v>#REF!</v>
      </c>
      <c r="G121" s="4" t="e">
        <f t="shared" ref="G121:G135" si="27">IF(B121="Yes",0,IF((C104+D104+E104+F104)&gt;=25000,0,IF((C104+D104+E104+F104+G104)&gt;=25000,25000-C104-D104-E104-F104,G104)))</f>
        <v>#REF!</v>
      </c>
      <c r="H121" s="4" t="e">
        <f t="shared" ref="H121:H136" si="28">SUM(C121:G121)</f>
        <v>#REF!</v>
      </c>
    </row>
    <row r="122" spans="1:8" x14ac:dyDescent="0.2">
      <c r="A122" s="40" t="e">
        <f>#REF!</f>
        <v>#REF!</v>
      </c>
      <c r="B122" s="4" t="e">
        <f>IF(#REF!="non-UC","No","Yes")</f>
        <v>#REF!</v>
      </c>
      <c r="C122" s="4" t="e">
        <f>IF(B105="Yes",0,(IF(C105&gt;25000,25000,C105)))</f>
        <v>#REF!</v>
      </c>
      <c r="D122" s="4" t="e">
        <f t="shared" si="24"/>
        <v>#REF!</v>
      </c>
      <c r="E122" s="4" t="e">
        <f t="shared" si="25"/>
        <v>#REF!</v>
      </c>
      <c r="F122" s="4" t="e">
        <f t="shared" si="26"/>
        <v>#REF!</v>
      </c>
      <c r="G122" s="4" t="e">
        <f t="shared" si="27"/>
        <v>#REF!</v>
      </c>
      <c r="H122" s="4" t="e">
        <f t="shared" si="28"/>
        <v>#REF!</v>
      </c>
    </row>
    <row r="123" spans="1:8" x14ac:dyDescent="0.2">
      <c r="A123" s="40" t="e">
        <f>#REF!</f>
        <v>#REF!</v>
      </c>
      <c r="B123" s="4" t="e">
        <f>IF(#REF!="non-UC","No","Yes")</f>
        <v>#REF!</v>
      </c>
      <c r="C123" s="4" t="e">
        <f t="shared" ref="C123:C135" si="29">IF(B106="Yes",0,(IF(C106&gt;25000,25000,C106)))</f>
        <v>#REF!</v>
      </c>
      <c r="D123" s="4" t="e">
        <f t="shared" si="24"/>
        <v>#REF!</v>
      </c>
      <c r="E123" s="4" t="e">
        <f t="shared" si="25"/>
        <v>#REF!</v>
      </c>
      <c r="F123" s="4" t="e">
        <f t="shared" si="26"/>
        <v>#REF!</v>
      </c>
      <c r="G123" s="4" t="e">
        <f t="shared" si="27"/>
        <v>#REF!</v>
      </c>
      <c r="H123" s="4" t="e">
        <f t="shared" si="28"/>
        <v>#REF!</v>
      </c>
    </row>
    <row r="124" spans="1:8" x14ac:dyDescent="0.2">
      <c r="A124" s="40" t="e">
        <f>#REF!</f>
        <v>#REF!</v>
      </c>
      <c r="B124" s="4" t="e">
        <f>IF(#REF!="non-UC","No","Yes")</f>
        <v>#REF!</v>
      </c>
      <c r="C124" s="4" t="e">
        <f t="shared" si="29"/>
        <v>#REF!</v>
      </c>
      <c r="D124" s="4" t="e">
        <f t="shared" si="24"/>
        <v>#REF!</v>
      </c>
      <c r="E124" s="4" t="e">
        <f t="shared" si="25"/>
        <v>#REF!</v>
      </c>
      <c r="F124" s="4" t="e">
        <f t="shared" si="26"/>
        <v>#REF!</v>
      </c>
      <c r="G124" s="4" t="e">
        <f t="shared" si="27"/>
        <v>#REF!</v>
      </c>
      <c r="H124" s="4" t="e">
        <f t="shared" si="28"/>
        <v>#REF!</v>
      </c>
    </row>
    <row r="125" spans="1:8" x14ac:dyDescent="0.2">
      <c r="A125" s="40" t="e">
        <f>#REF!</f>
        <v>#REF!</v>
      </c>
      <c r="B125" s="4" t="e">
        <f>IF(#REF!="non-UC","No","Yes")</f>
        <v>#REF!</v>
      </c>
      <c r="C125" s="4" t="e">
        <f t="shared" si="29"/>
        <v>#REF!</v>
      </c>
      <c r="D125" s="4" t="e">
        <f t="shared" si="24"/>
        <v>#REF!</v>
      </c>
      <c r="E125" s="4" t="e">
        <f t="shared" si="25"/>
        <v>#REF!</v>
      </c>
      <c r="F125" s="4" t="e">
        <f t="shared" si="26"/>
        <v>#REF!</v>
      </c>
      <c r="G125" s="4" t="e">
        <f t="shared" si="27"/>
        <v>#REF!</v>
      </c>
      <c r="H125" s="4" t="e">
        <f t="shared" si="28"/>
        <v>#REF!</v>
      </c>
    </row>
    <row r="126" spans="1:8" x14ac:dyDescent="0.2">
      <c r="A126" s="40" t="e">
        <f>#REF!</f>
        <v>#REF!</v>
      </c>
      <c r="B126" s="4" t="e">
        <f>IF(#REF!="non-UC","No","Yes")</f>
        <v>#REF!</v>
      </c>
      <c r="C126" s="4" t="e">
        <f t="shared" si="29"/>
        <v>#REF!</v>
      </c>
      <c r="D126" s="4" t="e">
        <f t="shared" si="24"/>
        <v>#REF!</v>
      </c>
      <c r="E126" s="4" t="e">
        <f t="shared" si="25"/>
        <v>#REF!</v>
      </c>
      <c r="F126" s="4" t="e">
        <f t="shared" si="26"/>
        <v>#REF!</v>
      </c>
      <c r="G126" s="4" t="e">
        <f t="shared" si="27"/>
        <v>#REF!</v>
      </c>
      <c r="H126" s="4" t="e">
        <f t="shared" si="28"/>
        <v>#REF!</v>
      </c>
    </row>
    <row r="127" spans="1:8" x14ac:dyDescent="0.2">
      <c r="A127" s="40" t="e">
        <f>#REF!</f>
        <v>#REF!</v>
      </c>
      <c r="B127" s="4" t="e">
        <f>IF(#REF!="non-UC","No","Yes")</f>
        <v>#REF!</v>
      </c>
      <c r="C127" s="4" t="e">
        <f t="shared" si="29"/>
        <v>#REF!</v>
      </c>
      <c r="D127" s="4" t="e">
        <f t="shared" si="24"/>
        <v>#REF!</v>
      </c>
      <c r="E127" s="4" t="e">
        <f t="shared" si="25"/>
        <v>#REF!</v>
      </c>
      <c r="F127" s="4" t="e">
        <f t="shared" si="26"/>
        <v>#REF!</v>
      </c>
      <c r="G127" s="4" t="e">
        <f t="shared" si="27"/>
        <v>#REF!</v>
      </c>
      <c r="H127" s="4" t="e">
        <f t="shared" si="28"/>
        <v>#REF!</v>
      </c>
    </row>
    <row r="128" spans="1:8" x14ac:dyDescent="0.2">
      <c r="A128" s="40" t="e">
        <f>#REF!</f>
        <v>#REF!</v>
      </c>
      <c r="B128" s="4" t="e">
        <f>IF(#REF!="non-UC","No","Yes")</f>
        <v>#REF!</v>
      </c>
      <c r="C128" s="4" t="e">
        <f t="shared" si="29"/>
        <v>#REF!</v>
      </c>
      <c r="D128" s="4" t="e">
        <f t="shared" si="24"/>
        <v>#REF!</v>
      </c>
      <c r="E128" s="4" t="e">
        <f t="shared" si="25"/>
        <v>#REF!</v>
      </c>
      <c r="F128" s="4" t="e">
        <f t="shared" si="26"/>
        <v>#REF!</v>
      </c>
      <c r="G128" s="4" t="e">
        <f t="shared" si="27"/>
        <v>#REF!</v>
      </c>
      <c r="H128" s="4" t="e">
        <f t="shared" si="28"/>
        <v>#REF!</v>
      </c>
    </row>
    <row r="129" spans="1:8" x14ac:dyDescent="0.2">
      <c r="A129" s="40" t="e">
        <f>#REF!</f>
        <v>#REF!</v>
      </c>
      <c r="B129" s="4" t="e">
        <f>IF(#REF!="non-UC","No","Yes")</f>
        <v>#REF!</v>
      </c>
      <c r="C129" s="4" t="e">
        <f t="shared" si="29"/>
        <v>#REF!</v>
      </c>
      <c r="D129" s="4" t="e">
        <f t="shared" si="24"/>
        <v>#REF!</v>
      </c>
      <c r="E129" s="4" t="e">
        <f t="shared" si="25"/>
        <v>#REF!</v>
      </c>
      <c r="F129" s="4" t="e">
        <f t="shared" si="26"/>
        <v>#REF!</v>
      </c>
      <c r="G129" s="4" t="e">
        <f t="shared" si="27"/>
        <v>#REF!</v>
      </c>
      <c r="H129" s="4" t="e">
        <f t="shared" si="28"/>
        <v>#REF!</v>
      </c>
    </row>
    <row r="130" spans="1:8" x14ac:dyDescent="0.2">
      <c r="A130" s="40" t="e">
        <f>#REF!</f>
        <v>#REF!</v>
      </c>
      <c r="B130" s="4" t="e">
        <f>IF(#REF!="non-UC","No","Yes")</f>
        <v>#REF!</v>
      </c>
      <c r="C130" s="4" t="e">
        <f t="shared" si="29"/>
        <v>#REF!</v>
      </c>
      <c r="D130" s="4" t="e">
        <f t="shared" si="24"/>
        <v>#REF!</v>
      </c>
      <c r="E130" s="4" t="e">
        <f t="shared" si="25"/>
        <v>#REF!</v>
      </c>
      <c r="F130" s="4" t="e">
        <f t="shared" si="26"/>
        <v>#REF!</v>
      </c>
      <c r="G130" s="4" t="e">
        <f t="shared" si="27"/>
        <v>#REF!</v>
      </c>
      <c r="H130" s="4" t="e">
        <f t="shared" si="28"/>
        <v>#REF!</v>
      </c>
    </row>
    <row r="131" spans="1:8" x14ac:dyDescent="0.2">
      <c r="A131" s="40" t="e">
        <f>#REF!</f>
        <v>#REF!</v>
      </c>
      <c r="B131" s="4" t="e">
        <f>IF(#REF!="non-UC","No","Yes")</f>
        <v>#REF!</v>
      </c>
      <c r="C131" s="4" t="e">
        <f t="shared" si="29"/>
        <v>#REF!</v>
      </c>
      <c r="D131" s="4" t="e">
        <f t="shared" si="24"/>
        <v>#REF!</v>
      </c>
      <c r="E131" s="4" t="e">
        <f t="shared" si="25"/>
        <v>#REF!</v>
      </c>
      <c r="F131" s="4" t="e">
        <f t="shared" si="26"/>
        <v>#REF!</v>
      </c>
      <c r="G131" s="4" t="e">
        <f t="shared" si="27"/>
        <v>#REF!</v>
      </c>
      <c r="H131" s="4" t="e">
        <f t="shared" si="28"/>
        <v>#REF!</v>
      </c>
    </row>
    <row r="132" spans="1:8" x14ac:dyDescent="0.2">
      <c r="A132" s="40" t="e">
        <f>#REF!</f>
        <v>#REF!</v>
      </c>
      <c r="B132" s="4" t="e">
        <f>IF(#REF!="non-UC","No","Yes")</f>
        <v>#REF!</v>
      </c>
      <c r="C132" s="4" t="e">
        <f t="shared" si="29"/>
        <v>#REF!</v>
      </c>
      <c r="D132" s="4" t="e">
        <f t="shared" si="24"/>
        <v>#REF!</v>
      </c>
      <c r="E132" s="4" t="e">
        <f t="shared" si="25"/>
        <v>#REF!</v>
      </c>
      <c r="F132" s="4" t="e">
        <f t="shared" si="26"/>
        <v>#REF!</v>
      </c>
      <c r="G132" s="4" t="e">
        <f t="shared" si="27"/>
        <v>#REF!</v>
      </c>
      <c r="H132" s="4" t="e">
        <f t="shared" si="28"/>
        <v>#REF!</v>
      </c>
    </row>
    <row r="133" spans="1:8" x14ac:dyDescent="0.2">
      <c r="A133" s="40" t="e">
        <f>#REF!</f>
        <v>#REF!</v>
      </c>
      <c r="B133" s="4" t="e">
        <f>IF(#REF!="non-UC","No","Yes")</f>
        <v>#REF!</v>
      </c>
      <c r="C133" s="4" t="e">
        <f t="shared" si="29"/>
        <v>#REF!</v>
      </c>
      <c r="D133" s="4" t="e">
        <f t="shared" si="24"/>
        <v>#REF!</v>
      </c>
      <c r="E133" s="4" t="e">
        <f t="shared" si="25"/>
        <v>#REF!</v>
      </c>
      <c r="F133" s="4" t="e">
        <f t="shared" si="26"/>
        <v>#REF!</v>
      </c>
      <c r="G133" s="4" t="e">
        <f t="shared" si="27"/>
        <v>#REF!</v>
      </c>
      <c r="H133" s="4" t="e">
        <f t="shared" si="28"/>
        <v>#REF!</v>
      </c>
    </row>
    <row r="134" spans="1:8" x14ac:dyDescent="0.2">
      <c r="A134" s="40" t="e">
        <f>#REF!</f>
        <v>#REF!</v>
      </c>
      <c r="B134" s="4" t="e">
        <f>IF(#REF!="non-UC","No","Yes")</f>
        <v>#REF!</v>
      </c>
      <c r="C134" s="4" t="e">
        <f t="shared" si="29"/>
        <v>#REF!</v>
      </c>
      <c r="D134" s="4" t="e">
        <f t="shared" si="24"/>
        <v>#REF!</v>
      </c>
      <c r="E134" s="4" t="e">
        <f t="shared" si="25"/>
        <v>#REF!</v>
      </c>
      <c r="F134" s="4" t="e">
        <f t="shared" si="26"/>
        <v>#REF!</v>
      </c>
      <c r="G134" s="4" t="e">
        <f t="shared" si="27"/>
        <v>#REF!</v>
      </c>
      <c r="H134" s="4" t="e">
        <f t="shared" si="28"/>
        <v>#REF!</v>
      </c>
    </row>
    <row r="135" spans="1:8" x14ac:dyDescent="0.2">
      <c r="A135" s="40" t="e">
        <f>#REF!</f>
        <v>#REF!</v>
      </c>
      <c r="B135" s="4" t="e">
        <f>IF(#REF!="non-UC","No","Yes")</f>
        <v>#REF!</v>
      </c>
      <c r="C135" s="4" t="e">
        <f t="shared" si="29"/>
        <v>#REF!</v>
      </c>
      <c r="D135" s="4" t="e">
        <f t="shared" si="24"/>
        <v>#REF!</v>
      </c>
      <c r="E135" s="4" t="e">
        <f t="shared" si="25"/>
        <v>#REF!</v>
      </c>
      <c r="F135" s="4" t="e">
        <f t="shared" si="26"/>
        <v>#REF!</v>
      </c>
      <c r="G135" s="4" t="e">
        <f t="shared" si="27"/>
        <v>#REF!</v>
      </c>
      <c r="H135" s="4" t="e">
        <f t="shared" si="28"/>
        <v>#REF!</v>
      </c>
    </row>
    <row r="136" spans="1:8" x14ac:dyDescent="0.2">
      <c r="A136" s="313" t="s">
        <v>112</v>
      </c>
      <c r="B136" s="313"/>
      <c r="C136" s="41" t="e">
        <f>SUM(C121:C135)</f>
        <v>#REF!</v>
      </c>
      <c r="D136" s="41" t="e">
        <f>SUM(D121:D135)</f>
        <v>#REF!</v>
      </c>
      <c r="E136" s="41" t="e">
        <f t="shared" ref="E136:G136" si="30">SUM(E121:E135)</f>
        <v>#REF!</v>
      </c>
      <c r="F136" s="41" t="e">
        <f t="shared" si="30"/>
        <v>#REF!</v>
      </c>
      <c r="G136" s="41" t="e">
        <f t="shared" si="30"/>
        <v>#REF!</v>
      </c>
      <c r="H136" s="41" t="e">
        <f t="shared" si="28"/>
        <v>#REF!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 t="e">
        <f>#REF!</f>
        <v>#REF!</v>
      </c>
      <c r="B139" s="4" t="e">
        <f>IF(#REF!="non-UC","No","Yes")</f>
        <v>#REF!</v>
      </c>
      <c r="C139" s="4" t="e">
        <f>IF($B139="Yes",0,C104)</f>
        <v>#REF!</v>
      </c>
      <c r="D139" s="4" t="e">
        <f t="shared" ref="D139:G139" si="31">IF($B139="Yes",0,D104)</f>
        <v>#REF!</v>
      </c>
      <c r="E139" s="4" t="e">
        <f t="shared" si="31"/>
        <v>#REF!</v>
      </c>
      <c r="F139" s="4" t="e">
        <f t="shared" si="31"/>
        <v>#REF!</v>
      </c>
      <c r="G139" s="4" t="e">
        <f t="shared" si="31"/>
        <v>#REF!</v>
      </c>
      <c r="H139" s="4" t="e">
        <f t="shared" ref="H139:H154" si="32">SUM(C139:G139)</f>
        <v>#REF!</v>
      </c>
    </row>
    <row r="140" spans="1:8" x14ac:dyDescent="0.2">
      <c r="A140" s="40" t="e">
        <f>#REF!</f>
        <v>#REF!</v>
      </c>
      <c r="B140" s="4" t="e">
        <f>IF(#REF!="non-UC","No","Yes")</f>
        <v>#REF!</v>
      </c>
      <c r="C140" s="4" t="e">
        <f t="shared" ref="C140:G153" si="33">IF($B140="Yes",0,C105)</f>
        <v>#REF!</v>
      </c>
      <c r="D140" s="4" t="e">
        <f t="shared" si="33"/>
        <v>#REF!</v>
      </c>
      <c r="E140" s="4" t="e">
        <f t="shared" si="33"/>
        <v>#REF!</v>
      </c>
      <c r="F140" s="4" t="e">
        <f t="shared" si="33"/>
        <v>#REF!</v>
      </c>
      <c r="G140" s="4" t="e">
        <f t="shared" si="33"/>
        <v>#REF!</v>
      </c>
      <c r="H140" s="4" t="e">
        <f t="shared" si="32"/>
        <v>#REF!</v>
      </c>
    </row>
    <row r="141" spans="1:8" x14ac:dyDescent="0.2">
      <c r="A141" s="40" t="e">
        <f>#REF!</f>
        <v>#REF!</v>
      </c>
      <c r="B141" s="4" t="e">
        <f>IF(#REF!="non-UC","No","Yes")</f>
        <v>#REF!</v>
      </c>
      <c r="C141" s="4" t="e">
        <f t="shared" si="33"/>
        <v>#REF!</v>
      </c>
      <c r="D141" s="4" t="e">
        <f t="shared" si="33"/>
        <v>#REF!</v>
      </c>
      <c r="E141" s="4" t="e">
        <f t="shared" si="33"/>
        <v>#REF!</v>
      </c>
      <c r="F141" s="4" t="e">
        <f t="shared" si="33"/>
        <v>#REF!</v>
      </c>
      <c r="G141" s="4" t="e">
        <f t="shared" si="33"/>
        <v>#REF!</v>
      </c>
      <c r="H141" s="4" t="e">
        <f t="shared" si="32"/>
        <v>#REF!</v>
      </c>
    </row>
    <row r="142" spans="1:8" x14ac:dyDescent="0.2">
      <c r="A142" s="40" t="e">
        <f>#REF!</f>
        <v>#REF!</v>
      </c>
      <c r="B142" s="4" t="e">
        <f>IF(#REF!="non-UC","No","Yes")</f>
        <v>#REF!</v>
      </c>
      <c r="C142" s="4" t="e">
        <f t="shared" si="33"/>
        <v>#REF!</v>
      </c>
      <c r="D142" s="4" t="e">
        <f t="shared" si="33"/>
        <v>#REF!</v>
      </c>
      <c r="E142" s="4" t="e">
        <f t="shared" si="33"/>
        <v>#REF!</v>
      </c>
      <c r="F142" s="4" t="e">
        <f t="shared" si="33"/>
        <v>#REF!</v>
      </c>
      <c r="G142" s="4" t="e">
        <f t="shared" si="33"/>
        <v>#REF!</v>
      </c>
      <c r="H142" s="4" t="e">
        <f t="shared" si="32"/>
        <v>#REF!</v>
      </c>
    </row>
    <row r="143" spans="1:8" x14ac:dyDescent="0.2">
      <c r="A143" s="40" t="e">
        <f>#REF!</f>
        <v>#REF!</v>
      </c>
      <c r="B143" s="4" t="e">
        <f>IF(#REF!="non-UC","No","Yes")</f>
        <v>#REF!</v>
      </c>
      <c r="C143" s="4" t="e">
        <f t="shared" si="33"/>
        <v>#REF!</v>
      </c>
      <c r="D143" s="4" t="e">
        <f t="shared" si="33"/>
        <v>#REF!</v>
      </c>
      <c r="E143" s="4" t="e">
        <f t="shared" si="33"/>
        <v>#REF!</v>
      </c>
      <c r="F143" s="4" t="e">
        <f t="shared" si="33"/>
        <v>#REF!</v>
      </c>
      <c r="G143" s="4" t="e">
        <f t="shared" si="33"/>
        <v>#REF!</v>
      </c>
      <c r="H143" s="4" t="e">
        <f t="shared" si="32"/>
        <v>#REF!</v>
      </c>
    </row>
    <row r="144" spans="1:8" x14ac:dyDescent="0.2">
      <c r="A144" s="40" t="e">
        <f>#REF!</f>
        <v>#REF!</v>
      </c>
      <c r="B144" s="4" t="e">
        <f>IF(#REF!="non-UC","No","Yes")</f>
        <v>#REF!</v>
      </c>
      <c r="C144" s="4" t="e">
        <f t="shared" si="33"/>
        <v>#REF!</v>
      </c>
      <c r="D144" s="4" t="e">
        <f t="shared" si="33"/>
        <v>#REF!</v>
      </c>
      <c r="E144" s="4" t="e">
        <f t="shared" si="33"/>
        <v>#REF!</v>
      </c>
      <c r="F144" s="4" t="e">
        <f t="shared" si="33"/>
        <v>#REF!</v>
      </c>
      <c r="G144" s="4" t="e">
        <f t="shared" si="33"/>
        <v>#REF!</v>
      </c>
      <c r="H144" s="4" t="e">
        <f t="shared" si="32"/>
        <v>#REF!</v>
      </c>
    </row>
    <row r="145" spans="1:18" x14ac:dyDescent="0.2">
      <c r="A145" s="40" t="e">
        <f>#REF!</f>
        <v>#REF!</v>
      </c>
      <c r="B145" s="4" t="e">
        <f>IF(#REF!="non-UC","No","Yes")</f>
        <v>#REF!</v>
      </c>
      <c r="C145" s="4" t="e">
        <f t="shared" si="33"/>
        <v>#REF!</v>
      </c>
      <c r="D145" s="4" t="e">
        <f t="shared" si="33"/>
        <v>#REF!</v>
      </c>
      <c r="E145" s="4" t="e">
        <f t="shared" si="33"/>
        <v>#REF!</v>
      </c>
      <c r="F145" s="4" t="e">
        <f t="shared" si="33"/>
        <v>#REF!</v>
      </c>
      <c r="G145" s="4" t="e">
        <f t="shared" si="33"/>
        <v>#REF!</v>
      </c>
      <c r="H145" s="4" t="e">
        <f t="shared" si="32"/>
        <v>#REF!</v>
      </c>
    </row>
    <row r="146" spans="1:18" x14ac:dyDescent="0.2">
      <c r="A146" s="40" t="e">
        <f>#REF!</f>
        <v>#REF!</v>
      </c>
      <c r="B146" s="4" t="e">
        <f>IF(#REF!="non-UC","No","Yes")</f>
        <v>#REF!</v>
      </c>
      <c r="C146" s="4" t="e">
        <f t="shared" si="33"/>
        <v>#REF!</v>
      </c>
      <c r="D146" s="4" t="e">
        <f t="shared" si="33"/>
        <v>#REF!</v>
      </c>
      <c r="E146" s="4" t="e">
        <f t="shared" si="33"/>
        <v>#REF!</v>
      </c>
      <c r="F146" s="4" t="e">
        <f t="shared" si="33"/>
        <v>#REF!</v>
      </c>
      <c r="G146" s="4" t="e">
        <f t="shared" si="33"/>
        <v>#REF!</v>
      </c>
      <c r="H146" s="4" t="e">
        <f t="shared" si="32"/>
        <v>#REF!</v>
      </c>
    </row>
    <row r="147" spans="1:18" x14ac:dyDescent="0.2">
      <c r="A147" s="40" t="e">
        <f>#REF!</f>
        <v>#REF!</v>
      </c>
      <c r="B147" s="4" t="e">
        <f>IF(#REF!="non-UC","No","Yes")</f>
        <v>#REF!</v>
      </c>
      <c r="C147" s="4" t="e">
        <f t="shared" si="33"/>
        <v>#REF!</v>
      </c>
      <c r="D147" s="4" t="e">
        <f t="shared" si="33"/>
        <v>#REF!</v>
      </c>
      <c r="E147" s="4" t="e">
        <f t="shared" si="33"/>
        <v>#REF!</v>
      </c>
      <c r="F147" s="4" t="e">
        <f t="shared" si="33"/>
        <v>#REF!</v>
      </c>
      <c r="G147" s="4" t="e">
        <f t="shared" si="33"/>
        <v>#REF!</v>
      </c>
      <c r="H147" s="4" t="e">
        <f t="shared" si="32"/>
        <v>#REF!</v>
      </c>
    </row>
    <row r="148" spans="1:18" x14ac:dyDescent="0.2">
      <c r="A148" s="40" t="e">
        <f>#REF!</f>
        <v>#REF!</v>
      </c>
      <c r="B148" s="4" t="e">
        <f>IF(#REF!="non-UC","No","Yes")</f>
        <v>#REF!</v>
      </c>
      <c r="C148" s="4" t="e">
        <f t="shared" si="33"/>
        <v>#REF!</v>
      </c>
      <c r="D148" s="4" t="e">
        <f t="shared" si="33"/>
        <v>#REF!</v>
      </c>
      <c r="E148" s="4" t="e">
        <f t="shared" si="33"/>
        <v>#REF!</v>
      </c>
      <c r="F148" s="4" t="e">
        <f t="shared" si="33"/>
        <v>#REF!</v>
      </c>
      <c r="G148" s="4" t="e">
        <f t="shared" si="33"/>
        <v>#REF!</v>
      </c>
      <c r="H148" s="4" t="e">
        <f t="shared" si="32"/>
        <v>#REF!</v>
      </c>
    </row>
    <row r="149" spans="1:18" x14ac:dyDescent="0.2">
      <c r="A149" s="40" t="e">
        <f>#REF!</f>
        <v>#REF!</v>
      </c>
      <c r="B149" s="4" t="e">
        <f>IF(#REF!="non-UC","No","Yes")</f>
        <v>#REF!</v>
      </c>
      <c r="C149" s="4" t="e">
        <f t="shared" si="33"/>
        <v>#REF!</v>
      </c>
      <c r="D149" s="4" t="e">
        <f t="shared" si="33"/>
        <v>#REF!</v>
      </c>
      <c r="E149" s="4" t="e">
        <f t="shared" si="33"/>
        <v>#REF!</v>
      </c>
      <c r="F149" s="4" t="e">
        <f t="shared" si="33"/>
        <v>#REF!</v>
      </c>
      <c r="G149" s="4" t="e">
        <f t="shared" si="33"/>
        <v>#REF!</v>
      </c>
      <c r="H149" s="4" t="e">
        <f t="shared" si="32"/>
        <v>#REF!</v>
      </c>
    </row>
    <row r="150" spans="1:18" x14ac:dyDescent="0.2">
      <c r="A150" s="40" t="e">
        <f>#REF!</f>
        <v>#REF!</v>
      </c>
      <c r="B150" s="4" t="e">
        <f>IF(#REF!="non-UC","No","Yes")</f>
        <v>#REF!</v>
      </c>
      <c r="C150" s="4" t="e">
        <f t="shared" si="33"/>
        <v>#REF!</v>
      </c>
      <c r="D150" s="4" t="e">
        <f t="shared" si="33"/>
        <v>#REF!</v>
      </c>
      <c r="E150" s="4" t="e">
        <f t="shared" si="33"/>
        <v>#REF!</v>
      </c>
      <c r="F150" s="4" t="e">
        <f t="shared" si="33"/>
        <v>#REF!</v>
      </c>
      <c r="G150" s="4" t="e">
        <f t="shared" si="33"/>
        <v>#REF!</v>
      </c>
      <c r="H150" s="4" t="e">
        <f t="shared" si="32"/>
        <v>#REF!</v>
      </c>
    </row>
    <row r="151" spans="1:18" x14ac:dyDescent="0.2">
      <c r="A151" s="40" t="e">
        <f>#REF!</f>
        <v>#REF!</v>
      </c>
      <c r="B151" s="4" t="e">
        <f>IF(#REF!="non-UC","No","Yes")</f>
        <v>#REF!</v>
      </c>
      <c r="C151" s="4" t="e">
        <f t="shared" si="33"/>
        <v>#REF!</v>
      </c>
      <c r="D151" s="4" t="e">
        <f t="shared" si="33"/>
        <v>#REF!</v>
      </c>
      <c r="E151" s="4" t="e">
        <f t="shared" si="33"/>
        <v>#REF!</v>
      </c>
      <c r="F151" s="4" t="e">
        <f t="shared" si="33"/>
        <v>#REF!</v>
      </c>
      <c r="G151" s="4" t="e">
        <f t="shared" si="33"/>
        <v>#REF!</v>
      </c>
      <c r="H151" s="4" t="e">
        <f t="shared" si="32"/>
        <v>#REF!</v>
      </c>
    </row>
    <row r="152" spans="1:18" x14ac:dyDescent="0.2">
      <c r="A152" s="40" t="e">
        <f>#REF!</f>
        <v>#REF!</v>
      </c>
      <c r="B152" s="4" t="e">
        <f>IF(#REF!="non-UC","No","Yes")</f>
        <v>#REF!</v>
      </c>
      <c r="C152" s="4" t="e">
        <f t="shared" si="33"/>
        <v>#REF!</v>
      </c>
      <c r="D152" s="4" t="e">
        <f t="shared" si="33"/>
        <v>#REF!</v>
      </c>
      <c r="E152" s="4" t="e">
        <f t="shared" si="33"/>
        <v>#REF!</v>
      </c>
      <c r="F152" s="4" t="e">
        <f t="shared" si="33"/>
        <v>#REF!</v>
      </c>
      <c r="G152" s="4" t="e">
        <f t="shared" si="33"/>
        <v>#REF!</v>
      </c>
      <c r="H152" s="4" t="e">
        <f t="shared" si="32"/>
        <v>#REF!</v>
      </c>
    </row>
    <row r="153" spans="1:18" x14ac:dyDescent="0.2">
      <c r="A153" s="40" t="e">
        <f>#REF!</f>
        <v>#REF!</v>
      </c>
      <c r="B153" s="4" t="e">
        <f>IF(#REF!="non-UC","No","Yes")</f>
        <v>#REF!</v>
      </c>
      <c r="C153" s="4" t="e">
        <f t="shared" si="33"/>
        <v>#REF!</v>
      </c>
      <c r="D153" s="4" t="e">
        <f t="shared" si="33"/>
        <v>#REF!</v>
      </c>
      <c r="E153" s="4" t="e">
        <f t="shared" si="33"/>
        <v>#REF!</v>
      </c>
      <c r="F153" s="4" t="e">
        <f t="shared" si="33"/>
        <v>#REF!</v>
      </c>
      <c r="G153" s="4" t="e">
        <f t="shared" si="33"/>
        <v>#REF!</v>
      </c>
      <c r="H153" s="4" t="e">
        <f t="shared" si="32"/>
        <v>#REF!</v>
      </c>
    </row>
    <row r="154" spans="1:18" x14ac:dyDescent="0.2">
      <c r="A154" s="313" t="s">
        <v>112</v>
      </c>
      <c r="B154" s="313"/>
      <c r="C154" s="41" t="e">
        <f>SUM(C139:C153)</f>
        <v>#REF!</v>
      </c>
      <c r="D154" s="41" t="e">
        <f>SUM(D139:D153)</f>
        <v>#REF!</v>
      </c>
      <c r="E154" s="41" t="e">
        <f t="shared" ref="E154:G154" si="34">SUM(E139:E153)</f>
        <v>#REF!</v>
      </c>
      <c r="F154" s="41" t="e">
        <f t="shared" si="34"/>
        <v>#REF!</v>
      </c>
      <c r="G154" s="41" t="e">
        <f t="shared" si="34"/>
        <v>#REF!</v>
      </c>
      <c r="H154" s="41" t="e">
        <f t="shared" si="32"/>
        <v>#REF!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 t="e">
        <f>#REF!+#REF!+#REF!+#REF!+SUM(#REF!)+SUM(#REF!)+'W8'!C136</f>
        <v>#REF!</v>
      </c>
      <c r="D157" s="41" t="e">
        <f>IF(D4="",0,(#REF!+#REF!+#REF!+#REF!+SUM(#REF!)+SUM(#REF!)+'W8'!D136))</f>
        <v>#REF!</v>
      </c>
      <c r="E157" s="41" t="e">
        <f>IF(E4="",0,(#REF!+#REF!+#REF!+#REF!+SUM(#REF!)+SUM(#REF!)+'W8'!E136))</f>
        <v>#REF!</v>
      </c>
      <c r="F157" s="41" t="e">
        <f>IF(F4="",0,(#REF!+#REF!+#REF!+#REF!+SUM(#REF!)+SUM(#REF!)+'W8'!F136))</f>
        <v>#REF!</v>
      </c>
      <c r="G157" s="41" t="e">
        <f>IF(G4="",0,(#REF!+#REF!+#REF!+#REF!+SUM(#REF!)+SUM(#REF!)+'W8'!G136))</f>
        <v>#REF!</v>
      </c>
      <c r="H157" s="42" t="e">
        <f>SUM(C157:G157)</f>
        <v>#REF!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 t="e">
        <f>#REF!-#REF!+'W8'!C154</f>
        <v>#REF!</v>
      </c>
      <c r="D158" s="42" t="e">
        <f>IF(D4="",0,(#REF!-#REF!+'W8'!D154))</f>
        <v>#REF!</v>
      </c>
      <c r="E158" s="42" t="e">
        <f>IF(E4="",0,(#REF!-#REF!+'W8'!E154))</f>
        <v>#REF!</v>
      </c>
      <c r="F158" s="42" t="e">
        <f>IF(F4="",0,(#REF!-#REF!+'W8'!F154))</f>
        <v>#REF!</v>
      </c>
      <c r="G158" s="42" t="e">
        <f>IF(G4="",0,(#REF!-#REF!+'W8'!G154))</f>
        <v>#REF!</v>
      </c>
      <c r="H158" s="42" t="e">
        <f>SUM(C158:G158)</f>
        <v>#REF!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 t="e">
        <f>ROUND((#REF!-#REF!+'W8'!C154)/(1-#REF!),0)</f>
        <v>#REF!</v>
      </c>
      <c r="D159" s="41" t="e">
        <f>IF(D4="",0,(ROUND((#REF!-#REF!+'W8'!D154)/(1-#REF!),0)))</f>
        <v>#REF!</v>
      </c>
      <c r="E159" s="41" t="e">
        <f>IF(E4="",0,(ROUND((#REF!-#REF!+'W8'!E154)/(1-#REF!),0)))</f>
        <v>#REF!</v>
      </c>
      <c r="F159" s="41" t="e">
        <f>IF(F4="",0,(ROUND((#REF!-#REF!+'W8'!F154)/(1-#REF!),0)))</f>
        <v>#REF!</v>
      </c>
      <c r="G159" s="41" t="e">
        <f>IF(G4="",0,(ROUND((#REF!-#REF!+'W8'!G154)/(1-#REF!),0)))</f>
        <v>#REF!</v>
      </c>
      <c r="H159" s="42" t="e">
        <f>SUM(C159:G159)</f>
        <v>#REF!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 t="e">
        <f>SUM(#REF!)</f>
        <v>#REF!</v>
      </c>
      <c r="D160" s="216" t="e">
        <f>SUM(#REF!)</f>
        <v>#REF!</v>
      </c>
      <c r="E160" s="216" t="e">
        <f>SUM(#REF!)</f>
        <v>#REF!</v>
      </c>
      <c r="F160" s="216" t="e">
        <f>SUM(#REF!)</f>
        <v>#REF!</v>
      </c>
      <c r="G160" s="216" t="e">
        <f>SUM(#REF!)</f>
        <v>#REF!</v>
      </c>
      <c r="H160" s="216" t="e">
        <f>SUM(C160:G160)</f>
        <v>#REF!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e">
        <f>#REF!</f>
        <v>#REF!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 t="e">
        <f>#REF!</f>
        <v>#REF!</v>
      </c>
      <c r="B162" s="26" t="e">
        <f>#REF!</f>
        <v>#REF!</v>
      </c>
      <c r="C162" s="41" t="e">
        <f>#REF!</f>
        <v>#REF!</v>
      </c>
      <c r="D162" s="41" t="e">
        <f>IF(#REF!="Use Buydown",C162*0.75,C162)</f>
        <v>#REF!</v>
      </c>
      <c r="E162" s="41" t="e">
        <f>IF(#REF!="AY",ROUND(D162*((1+B162)^$B$24),0),D162)</f>
        <v>#REF!</v>
      </c>
      <c r="F162" s="41" t="e">
        <f>IF(#REF!="AY",ROUND(D162*((1+$B162)^($B$24+1)),0),ROUND(E162*(1+B162),0))</f>
        <v>#REF!</v>
      </c>
      <c r="G162" s="41" t="e">
        <f>IF(#REF!="AY",ROUND(D162*((1+$B162)^($B$24+2)),0),ROUND(F162*(1+$B162),0))</f>
        <v>#REF!</v>
      </c>
      <c r="H162" s="41" t="e">
        <f>IF(#REF!="AY",ROUND(D162*((1+$B162)^($B$24+3)),0),ROUND(G162*(1+$B162),0))</f>
        <v>#REF!</v>
      </c>
      <c r="I162" s="41" t="e">
        <f>IF(#REF!="AY",ROUND(D162*((1+$B162)^($B$24+4)),0),ROUND(H162*(1+$B162),0))</f>
        <v>#REF!</v>
      </c>
      <c r="J162" s="41" t="e">
        <f>IF(#REF!="AY",ROUND(D162*((1+$B162)^($B$24+5)),0),ROUND(I162*(1+$B162),0))</f>
        <v>#REF!</v>
      </c>
      <c r="K162" s="112" t="e">
        <f>IF(C$5=0,0,IF(#REF!="AY",(E162*C$27+F162*C$28)/C$29,'W8'!E162))</f>
        <v>#REF!</v>
      </c>
      <c r="L162" s="112" t="e">
        <f>IF(D$5=0,0,IF(#REF!="AY",(F162*D$27+G162*D$28)/D$29,'W8'!F162))</f>
        <v>#REF!</v>
      </c>
      <c r="M162" s="112" t="e">
        <f>IF(E$5=0,0,IF(#REF!="AY",(G162*E$27+H162*E$28)/E$29,'W8'!G162))</f>
        <v>#REF!</v>
      </c>
      <c r="N162" s="112" t="e">
        <f>IF(F$5=0,0,IF(#REF!="AY",(H162*F$27+I162*F$28)/F$29,'W8'!H162))</f>
        <v>#REF!</v>
      </c>
      <c r="O162" s="112" t="e">
        <f>IF(G$5=0,0,IF(#REF!="AY",(I162*G$27+J162*G$28)/G$29,'W8'!I162))</f>
        <v>#REF!</v>
      </c>
      <c r="P162" s="23"/>
      <c r="Q162" s="23"/>
      <c r="R162" s="23"/>
    </row>
    <row r="163" spans="1:18" x14ac:dyDescent="0.2">
      <c r="A163" s="4" t="e">
        <f>#REF!</f>
        <v>#REF!</v>
      </c>
      <c r="B163" s="26" t="e">
        <f>#REF!</f>
        <v>#REF!</v>
      </c>
      <c r="C163" s="41" t="e">
        <f>#REF!</f>
        <v>#REF!</v>
      </c>
      <c r="D163" s="41" t="e">
        <f>IF(#REF!="Use Buydown",C163*0.75,C163)</f>
        <v>#REF!</v>
      </c>
      <c r="E163" s="41" t="e">
        <f>IF(#REF!="AY",ROUND(D163*((1+B163)^$B$24),0),D163)</f>
        <v>#REF!</v>
      </c>
      <c r="F163" s="41" t="e">
        <f>IF(#REF!="AY",ROUND(D163*((1+$B163)^($B$24+1)),0),ROUND(E163*(1+B163),0))</f>
        <v>#REF!</v>
      </c>
      <c r="G163" s="41" t="e">
        <f>IF(#REF!="AY",ROUND(D163*((1+$B163)^($B$24+2)),0),ROUND(F163*(1+$B163),0))</f>
        <v>#REF!</v>
      </c>
      <c r="H163" s="41" t="e">
        <f>IF(#REF!="AY",ROUND(D163*((1+$B163)^($B$24+3)),0),ROUND(G163*(1+$B163),0))</f>
        <v>#REF!</v>
      </c>
      <c r="I163" s="41" t="e">
        <f>IF(#REF!="AY",ROUND(D163*((1+$B163)^($B$24+4)),0),ROUND(H163*(1+$B163),0))</f>
        <v>#REF!</v>
      </c>
      <c r="J163" s="41" t="e">
        <f>IF(#REF!="AY",ROUND(D163*((1+$B163)^($B$24+5)),0),ROUND(I163*(1+$B163),0))</f>
        <v>#REF!</v>
      </c>
      <c r="K163" s="112" t="e">
        <f>IF(C$5=0,0,IF(#REF!="AY",(E163*C$27+F163*C$28)/C$29,'W8'!E163))</f>
        <v>#REF!</v>
      </c>
      <c r="L163" s="112" t="e">
        <f>IF(D$5=0,0,IF(#REF!="AY",(F163*D$27+G163*D$28)/D$29,'W8'!F163))</f>
        <v>#REF!</v>
      </c>
      <c r="M163" s="112" t="e">
        <f>IF(E$5=0,0,IF(#REF!="AY",(G163*E$27+H163*E$28)/E$29,'W8'!G163))</f>
        <v>#REF!</v>
      </c>
      <c r="N163" s="112" t="e">
        <f>IF(F$5=0,0,IF(#REF!="AY",(H163*F$27+I163*F$28)/F$29,'W8'!H163))</f>
        <v>#REF!</v>
      </c>
      <c r="O163" s="112" t="e">
        <f>IF(G$5=0,0,IF(#REF!="AY",(I163*G$27+J163*G$28)/G$29,'W8'!I163))</f>
        <v>#REF!</v>
      </c>
      <c r="P163" s="23"/>
      <c r="Q163" s="23"/>
      <c r="R163" s="23"/>
    </row>
    <row r="164" spans="1:18" x14ac:dyDescent="0.2">
      <c r="A164" s="4" t="e">
        <f>#REF!</f>
        <v>#REF!</v>
      </c>
      <c r="B164" s="26" t="e">
        <f>#REF!</f>
        <v>#REF!</v>
      </c>
      <c r="C164" s="41" t="e">
        <f>#REF!</f>
        <v>#REF!</v>
      </c>
      <c r="D164" s="41" t="e">
        <f>IF(#REF!="Use Buydown",C164*0.75,C164)</f>
        <v>#REF!</v>
      </c>
      <c r="E164" s="41" t="e">
        <f>IF(#REF!="AY",ROUND(D164*((1+B164)^$B$24),0),D164)</f>
        <v>#REF!</v>
      </c>
      <c r="F164" s="41" t="e">
        <f>IF(#REF!="AY",ROUND(D164*((1+$B164)^($B$24+1)),0),ROUND(E164*(1+B164),0))</f>
        <v>#REF!</v>
      </c>
      <c r="G164" s="41" t="e">
        <f>IF(#REF!="AY",ROUND(D164*((1+$B164)^($B$24+2)),0),ROUND(F164*(1+$B164),0))</f>
        <v>#REF!</v>
      </c>
      <c r="H164" s="41" t="e">
        <f>IF(#REF!="AY",ROUND(D164*((1+$B164)^($B$24+3)),0),ROUND(G164*(1+$B164),0))</f>
        <v>#REF!</v>
      </c>
      <c r="I164" s="41" t="e">
        <f>IF(#REF!="AY",ROUND(D164*((1+$B164)^($B$24+4)),0),ROUND(H164*(1+$B164),0))</f>
        <v>#REF!</v>
      </c>
      <c r="J164" s="41" t="e">
        <f>IF(#REF!="AY",ROUND(D164*((1+$B164)^($B$24+5)),0),ROUND(I164*(1+$B164),0))</f>
        <v>#REF!</v>
      </c>
      <c r="K164" s="112" t="e">
        <f>IF(C$5=0,0,IF(#REF!="AY",(E164*C$27+F164*C$28)/C$29,'W8'!E164))</f>
        <v>#REF!</v>
      </c>
      <c r="L164" s="112" t="e">
        <f>IF(D$5=0,0,IF(#REF!="AY",(F164*D$27+G164*D$28)/D$29,'W8'!F164))</f>
        <v>#REF!</v>
      </c>
      <c r="M164" s="112" t="e">
        <f>IF(E$5=0,0,IF(#REF!="AY",(G164*E$27+H164*E$28)/E$29,'W8'!G164))</f>
        <v>#REF!</v>
      </c>
      <c r="N164" s="112" t="e">
        <f>IF(F$5=0,0,IF(#REF!="AY",(H164*F$27+I164*F$28)/F$29,'W8'!H164))</f>
        <v>#REF!</v>
      </c>
      <c r="O164" s="112" t="e">
        <f>IF(G$5=0,0,IF(#REF!="AY",(I164*G$27+J164*G$28)/G$29,'W8'!I164))</f>
        <v>#REF!</v>
      </c>
      <c r="P164" s="23"/>
      <c r="Q164" s="23"/>
      <c r="R164" s="23"/>
    </row>
    <row r="165" spans="1:18" x14ac:dyDescent="0.2">
      <c r="A165" s="4" t="e">
        <f>#REF!</f>
        <v>#REF!</v>
      </c>
      <c r="B165" s="26" t="e">
        <f>#REF!</f>
        <v>#REF!</v>
      </c>
      <c r="C165" s="41" t="e">
        <f>#REF!</f>
        <v>#REF!</v>
      </c>
      <c r="D165" s="41" t="e">
        <f>IF(#REF!="Use Buydown",C165*0.75,C165)</f>
        <v>#REF!</v>
      </c>
      <c r="E165" s="41" t="e">
        <f>IF(#REF!="AY",ROUND(D165*((1+B165)^$B$24),0),D165)</f>
        <v>#REF!</v>
      </c>
      <c r="F165" s="41" t="e">
        <f>IF(#REF!="AY",ROUND(D165*((1+$B165)^($B$24+1)),0),ROUND(E165*(1+B165),0))</f>
        <v>#REF!</v>
      </c>
      <c r="G165" s="41" t="e">
        <f>IF(#REF!="AY",ROUND(D165*((1+$B165)^($B$24+2)),0),ROUND(F165*(1+$B165),0))</f>
        <v>#REF!</v>
      </c>
      <c r="H165" s="41" t="e">
        <f>IF(#REF!="AY",ROUND(D165*((1+$B165)^($B$24+3)),0),ROUND(G165*(1+$B165),0))</f>
        <v>#REF!</v>
      </c>
      <c r="I165" s="41" t="e">
        <f>IF(#REF!="AY",ROUND(D165*((1+$B165)^($B$24+4)),0),ROUND(H165*(1+$B165),0))</f>
        <v>#REF!</v>
      </c>
      <c r="J165" s="41" t="e">
        <f>IF(#REF!="AY",ROUND(D165*((1+$B165)^($B$24+5)),0),ROUND(I165*(1+$B165),0))</f>
        <v>#REF!</v>
      </c>
      <c r="K165" s="112" t="e">
        <f>IF(C$5=0,0,IF(#REF!="AY",(E165*C$27+F165*C$28)/C$29,'W8'!E165))</f>
        <v>#REF!</v>
      </c>
      <c r="L165" s="112" t="e">
        <f>IF(D$5=0,0,IF(#REF!="AY",(F165*D$27+G165*D$28)/D$29,'W8'!F165))</f>
        <v>#REF!</v>
      </c>
      <c r="M165" s="112" t="e">
        <f>IF(E$5=0,0,IF(#REF!="AY",(G165*E$27+H165*E$28)/E$29,'W8'!G165))</f>
        <v>#REF!</v>
      </c>
      <c r="N165" s="112" t="e">
        <f>IF(F$5=0,0,IF(#REF!="AY",(H165*F$27+I165*F$28)/F$29,'W8'!H165))</f>
        <v>#REF!</v>
      </c>
      <c r="O165" s="112" t="e">
        <f>IF(G$5=0,0,IF(#REF!="AY",(I165*G$27+J165*G$28)/G$29,'W8'!I165))</f>
        <v>#REF!</v>
      </c>
      <c r="P165" s="23"/>
      <c r="Q165" s="23"/>
      <c r="R165" s="23"/>
    </row>
    <row r="166" spans="1:18" x14ac:dyDescent="0.2">
      <c r="A166" s="4" t="e">
        <f>#REF!</f>
        <v>#REF!</v>
      </c>
      <c r="B166" s="26" t="e">
        <f>#REF!</f>
        <v>#REF!</v>
      </c>
      <c r="C166" s="41" t="e">
        <f>#REF!</f>
        <v>#REF!</v>
      </c>
      <c r="D166" s="41" t="e">
        <f>IF(#REF!="Use Buydown",C166*0.75,C166)</f>
        <v>#REF!</v>
      </c>
      <c r="E166" s="41" t="e">
        <f>IF(#REF!="AY",ROUND(D166*((1+B166)^$B$24),0),D166)</f>
        <v>#REF!</v>
      </c>
      <c r="F166" s="41" t="e">
        <f>IF(#REF!="AY",ROUND(D166*((1+$B166)^($B$24+1)),0),ROUND(E166*(1+B166),0))</f>
        <v>#REF!</v>
      </c>
      <c r="G166" s="41" t="e">
        <f>IF(#REF!="AY",ROUND(D166*((1+$B166)^($B$24+2)),0),ROUND(F166*(1+$B166),0))</f>
        <v>#REF!</v>
      </c>
      <c r="H166" s="41" t="e">
        <f>IF(#REF!="AY",ROUND(D166*((1+$B166)^($B$24+3)),0),ROUND(G166*(1+$B166),0))</f>
        <v>#REF!</v>
      </c>
      <c r="I166" s="41" t="e">
        <f>IF(#REF!="AY",ROUND(D166*((1+$B166)^($B$24+4)),0),ROUND(H166*(1+$B166),0))</f>
        <v>#REF!</v>
      </c>
      <c r="J166" s="41" t="e">
        <f>IF(#REF!="AY",ROUND(D166*((1+$B166)^($B$24+5)),0),ROUND(I166*(1+$B166),0))</f>
        <v>#REF!</v>
      </c>
      <c r="K166" s="112" t="e">
        <f>IF(C$5=0,0,IF(#REF!="AY",(E166*C$27+F166*C$28)/C$29,'W8'!E166))</f>
        <v>#REF!</v>
      </c>
      <c r="L166" s="112" t="e">
        <f>IF(D$5=0,0,IF(#REF!="AY",(F166*D$27+G166*D$28)/D$29,'W8'!F166))</f>
        <v>#REF!</v>
      </c>
      <c r="M166" s="112" t="e">
        <f>IF(E$5=0,0,IF(#REF!="AY",(G166*E$27+H166*E$28)/E$29,'W8'!G166))</f>
        <v>#REF!</v>
      </c>
      <c r="N166" s="112" t="e">
        <f>IF(F$5=0,0,IF(#REF!="AY",(H166*F$27+I166*F$28)/F$29,'W8'!H166))</f>
        <v>#REF!</v>
      </c>
      <c r="O166" s="112" t="e">
        <f>IF(G$5=0,0,IF(#REF!="AY",(I166*G$27+J166*G$28)/G$29,'W8'!I166))</f>
        <v>#REF!</v>
      </c>
      <c r="P166" s="23"/>
      <c r="Q166" s="23"/>
      <c r="R166" s="23"/>
    </row>
    <row r="167" spans="1:18" x14ac:dyDescent="0.2">
      <c r="A167" s="4" t="e">
        <f>#REF!</f>
        <v>#REF!</v>
      </c>
      <c r="B167" s="26" t="e">
        <f>#REF!</f>
        <v>#REF!</v>
      </c>
      <c r="C167" s="41" t="e">
        <f>#REF!</f>
        <v>#REF!</v>
      </c>
      <c r="D167" s="41" t="e">
        <f>IF(#REF!="Use Buydown",C167*0.75,C167)</f>
        <v>#REF!</v>
      </c>
      <c r="E167" s="41" t="e">
        <f>IF(#REF!="AY",ROUND(D167*((1+B167)^$B$24),0),D167)</f>
        <v>#REF!</v>
      </c>
      <c r="F167" s="41" t="e">
        <f>IF(#REF!="AY",ROUND(D167*((1+$B167)^($B$24+1)),0),ROUND(E167*(1+B167),0))</f>
        <v>#REF!</v>
      </c>
      <c r="G167" s="41" t="e">
        <f>IF(#REF!="AY",ROUND(D167*((1+$B167)^($B$24+2)),0),ROUND(F167*(1+$B167),0))</f>
        <v>#REF!</v>
      </c>
      <c r="H167" s="41" t="e">
        <f>IF(#REF!="AY",ROUND(D167*((1+$B167)^($B$24+3)),0),ROUND(G167*(1+$B167),0))</f>
        <v>#REF!</v>
      </c>
      <c r="I167" s="41" t="e">
        <f>IF(#REF!="AY",ROUND(D167*((1+$B167)^($B$24+4)),0),ROUND(H167*(1+$B167),0))</f>
        <v>#REF!</v>
      </c>
      <c r="J167" s="41" t="e">
        <f>IF(#REF!="AY",ROUND(D167*((1+$B167)^($B$24+5)),0),ROUND(I167*(1+$B167),0))</f>
        <v>#REF!</v>
      </c>
      <c r="K167" s="112" t="e">
        <f>IF(C$5=0,0,IF(#REF!="AY",(E167*C$27+F167*C$28)/C$29,'W8'!E167))</f>
        <v>#REF!</v>
      </c>
      <c r="L167" s="112" t="e">
        <f>IF(D$5=0,0,IF(#REF!="AY",(F167*D$27+G167*D$28)/D$29,'W8'!F167))</f>
        <v>#REF!</v>
      </c>
      <c r="M167" s="112" t="e">
        <f>IF(E$5=0,0,IF(#REF!="AY",(G167*E$27+H167*E$28)/E$29,'W8'!G167))</f>
        <v>#REF!</v>
      </c>
      <c r="N167" s="112" t="e">
        <f>IF(F$5=0,0,IF(#REF!="AY",(H167*F$27+I167*F$28)/F$29,'W8'!H167))</f>
        <v>#REF!</v>
      </c>
      <c r="O167" s="112" t="e">
        <f>IF(G$5=0,0,IF(#REF!="AY",(I167*G$27+J167*G$28)/G$29,'W8'!I167))</f>
        <v>#REF!</v>
      </c>
      <c r="P167" s="23"/>
      <c r="Q167" s="23"/>
      <c r="R167" s="23"/>
    </row>
    <row r="168" spans="1:18" x14ac:dyDescent="0.2">
      <c r="A168" s="4" t="e">
        <f>#REF!</f>
        <v>#REF!</v>
      </c>
      <c r="B168" s="26" t="e">
        <f>#REF!</f>
        <v>#REF!</v>
      </c>
      <c r="C168" s="41" t="e">
        <f>#REF!</f>
        <v>#REF!</v>
      </c>
      <c r="D168" s="41" t="e">
        <f>IF(#REF!="Use Buydown",C168*0.75,C168)</f>
        <v>#REF!</v>
      </c>
      <c r="E168" s="41" t="e">
        <f>IF(#REF!="AY",ROUND(D168*((1+B168)^$B$24),0),D168)</f>
        <v>#REF!</v>
      </c>
      <c r="F168" s="41" t="e">
        <f>IF(#REF!="AY",ROUND(D168*((1+$B168)^($B$24+1)),0),ROUND(E168*(1+B168),0))</f>
        <v>#REF!</v>
      </c>
      <c r="G168" s="41" t="e">
        <f>IF(#REF!="AY",ROUND(D168*((1+$B168)^($B$24+2)),0),ROUND(F168*(1+$B168),0))</f>
        <v>#REF!</v>
      </c>
      <c r="H168" s="41" t="e">
        <f>IF(#REF!="AY",ROUND(D168*((1+$B168)^($B$24+3)),0),ROUND(G168*(1+$B168),0))</f>
        <v>#REF!</v>
      </c>
      <c r="I168" s="41" t="e">
        <f>IF(#REF!="AY",ROUND(D168*((1+$B168)^($B$24+4)),0),ROUND(H168*(1+$B168),0))</f>
        <v>#REF!</v>
      </c>
      <c r="J168" s="41" t="e">
        <f>IF(#REF!="AY",ROUND(D168*((1+$B168)^($B$24+5)),0),ROUND(I168*(1+$B168),0))</f>
        <v>#REF!</v>
      </c>
      <c r="K168" s="112" t="e">
        <f>IF(C$5=0,0,IF(#REF!="AY",(E168*C$27+F168*C$28)/C$29,'W8'!E168))</f>
        <v>#REF!</v>
      </c>
      <c r="L168" s="112" t="e">
        <f>IF(D$5=0,0,IF(#REF!="AY",(F168*D$27+G168*D$28)/D$29,'W8'!F168))</f>
        <v>#REF!</v>
      </c>
      <c r="M168" s="112" t="e">
        <f>IF(E$5=0,0,IF(#REF!="AY",(G168*E$27+H168*E$28)/E$29,'W8'!G168))</f>
        <v>#REF!</v>
      </c>
      <c r="N168" s="112" t="e">
        <f>IF(F$5=0,0,IF(#REF!="AY",(H168*F$27+I168*F$28)/F$29,'W8'!H168))</f>
        <v>#REF!</v>
      </c>
      <c r="O168" s="112" t="e">
        <f>IF(G$5=0,0,IF(#REF!="AY",(I168*G$27+J168*G$28)/G$29,'W8'!I168))</f>
        <v>#REF!</v>
      </c>
    </row>
    <row r="169" spans="1:18" x14ac:dyDescent="0.2">
      <c r="A169" s="4" t="e">
        <f>#REF!</f>
        <v>#REF!</v>
      </c>
      <c r="B169" s="26" t="e">
        <f>#REF!</f>
        <v>#REF!</v>
      </c>
      <c r="C169" s="41" t="e">
        <f>#REF!</f>
        <v>#REF!</v>
      </c>
      <c r="D169" s="41" t="e">
        <f>IF(#REF!="Use Buydown",C169*0.75,C169)</f>
        <v>#REF!</v>
      </c>
      <c r="E169" s="41" t="e">
        <f>IF(#REF!="AY",ROUND(D169*((1+B169)^$B$24),0),D169)</f>
        <v>#REF!</v>
      </c>
      <c r="F169" s="41" t="e">
        <f>IF(#REF!="AY",ROUND(D169*((1+$B169)^($B$24+1)),0),ROUND(E169*(1+B169),0))</f>
        <v>#REF!</v>
      </c>
      <c r="G169" s="41" t="e">
        <f>IF(#REF!="AY",ROUND(D169*((1+$B169)^($B$24+2)),0),ROUND(F169*(1+$B169),0))</f>
        <v>#REF!</v>
      </c>
      <c r="H169" s="41" t="e">
        <f>IF(#REF!="AY",ROUND(D169*((1+$B169)^($B$24+3)),0),ROUND(G169*(1+$B169),0))</f>
        <v>#REF!</v>
      </c>
      <c r="I169" s="41" t="e">
        <f>IF(#REF!="AY",ROUND(D169*((1+$B169)^($B$24+4)),0),ROUND(H169*(1+$B169),0))</f>
        <v>#REF!</v>
      </c>
      <c r="J169" s="41" t="e">
        <f>IF(#REF!="AY",ROUND(D169*((1+$B169)^($B$24+5)),0),ROUND(I169*(1+$B169),0))</f>
        <v>#REF!</v>
      </c>
      <c r="K169" s="112" t="e">
        <f>IF(C$5=0,0,IF(#REF!="AY",(E169*C$27+F169*C$28)/C$29,'W8'!E169))</f>
        <v>#REF!</v>
      </c>
      <c r="L169" s="112" t="e">
        <f>IF(D$5=0,0,IF(#REF!="AY",(F169*D$27+G169*D$28)/D$29,'W8'!F169))</f>
        <v>#REF!</v>
      </c>
      <c r="M169" s="112" t="e">
        <f>IF(E$5=0,0,IF(#REF!="AY",(G169*E$27+H169*E$28)/E$29,'W8'!G169))</f>
        <v>#REF!</v>
      </c>
      <c r="N169" s="112" t="e">
        <f>IF(F$5=0,0,IF(#REF!="AY",(H169*F$27+I169*F$28)/F$29,'W8'!H169))</f>
        <v>#REF!</v>
      </c>
      <c r="O169" s="112" t="e">
        <f>IF(G$5=0,0,IF(#REF!="AY",(I169*G$27+J169*G$28)/G$29,'W8'!I169))</f>
        <v>#REF!</v>
      </c>
    </row>
    <row r="170" spans="1:18" x14ac:dyDescent="0.2">
      <c r="A170" s="4" t="e">
        <f>#REF!</f>
        <v>#REF!</v>
      </c>
      <c r="B170" s="26" t="e">
        <f>#REF!</f>
        <v>#REF!</v>
      </c>
      <c r="C170" s="41" t="e">
        <f>#REF!</f>
        <v>#REF!</v>
      </c>
      <c r="D170" s="41" t="e">
        <f>IF(#REF!="Use Buydown",C170*0.75,C170)</f>
        <v>#REF!</v>
      </c>
      <c r="E170" s="41" t="e">
        <f>IF(#REF!="AY",ROUND(D170*((1+B170)^$B$24),0),D170)</f>
        <v>#REF!</v>
      </c>
      <c r="F170" s="41" t="e">
        <f>IF(#REF!="AY",ROUND(D170*((1+$B170)^($B$24+1)),0),ROUND(E170*(1+B170),0))</f>
        <v>#REF!</v>
      </c>
      <c r="G170" s="41" t="e">
        <f>IF(#REF!="AY",ROUND(D170*((1+$B170)^($B$24+2)),0),ROUND(F170*(1+$B170),0))</f>
        <v>#REF!</v>
      </c>
      <c r="H170" s="41" t="e">
        <f>IF(#REF!="AY",ROUND(D170*((1+$B170)^($B$24+3)),0),ROUND(G170*(1+$B170),0))</f>
        <v>#REF!</v>
      </c>
      <c r="I170" s="41" t="e">
        <f>IF(#REF!="AY",ROUND(D170*((1+$B170)^($B$24+4)),0),ROUND(H170*(1+$B170),0))</f>
        <v>#REF!</v>
      </c>
      <c r="J170" s="41" t="e">
        <f>IF(#REF!="AY",ROUND(D170*((1+$B170)^($B$24+5)),0),ROUND(I170*(1+$B170),0))</f>
        <v>#REF!</v>
      </c>
      <c r="K170" s="112" t="e">
        <f>IF(C$5=0,0,IF(#REF!="AY",(E170*C$27+F170*C$28)/C$29,'W8'!E170))</f>
        <v>#REF!</v>
      </c>
      <c r="L170" s="112" t="e">
        <f>IF(D$5=0,0,IF(#REF!="AY",(F170*D$27+G170*D$28)/D$29,'W8'!F170))</f>
        <v>#REF!</v>
      </c>
      <c r="M170" s="112" t="e">
        <f>IF(E$5=0,0,IF(#REF!="AY",(G170*E$27+H170*E$28)/E$29,'W8'!G170))</f>
        <v>#REF!</v>
      </c>
      <c r="N170" s="112" t="e">
        <f>IF(F$5=0,0,IF(#REF!="AY",(H170*F$27+I170*F$28)/F$29,'W8'!H170))</f>
        <v>#REF!</v>
      </c>
      <c r="O170" s="112" t="e">
        <f>IF(G$5=0,0,IF(#REF!="AY",(I170*G$27+J170*G$28)/G$29,'W8'!I170))</f>
        <v>#REF!</v>
      </c>
    </row>
    <row r="171" spans="1:18" x14ac:dyDescent="0.2">
      <c r="A171" s="4" t="e">
        <f>#REF!</f>
        <v>#REF!</v>
      </c>
      <c r="B171" s="26" t="e">
        <f>#REF!</f>
        <v>#REF!</v>
      </c>
      <c r="C171" s="41" t="e">
        <f>#REF!</f>
        <v>#REF!</v>
      </c>
      <c r="D171" s="41" t="e">
        <f>IF(#REF!="Use Buydown",C171*0.75,C171)</f>
        <v>#REF!</v>
      </c>
      <c r="E171" s="41" t="e">
        <f>IF(#REF!="AY",ROUND(D171*((1+B171)^$B$24),0),D171)</f>
        <v>#REF!</v>
      </c>
      <c r="F171" s="41" t="e">
        <f>IF(#REF!="AY",ROUND(D171*((1+$B171)^($B$24+1)),0),ROUND(E171*(1+B171),0))</f>
        <v>#REF!</v>
      </c>
      <c r="G171" s="41" t="e">
        <f>IF(#REF!="AY",ROUND(D171*((1+$B171)^($B$24+2)),0),ROUND(F171*(1+$B171),0))</f>
        <v>#REF!</v>
      </c>
      <c r="H171" s="41" t="e">
        <f>IF(#REF!="AY",ROUND(D171*((1+$B171)^($B$24+3)),0),ROUND(G171*(1+$B171),0))</f>
        <v>#REF!</v>
      </c>
      <c r="I171" s="41" t="e">
        <f>IF(#REF!="AY",ROUND(D171*((1+$B171)^($B$24+4)),0),ROUND(H171*(1+$B171),0))</f>
        <v>#REF!</v>
      </c>
      <c r="J171" s="41" t="e">
        <f>IF(#REF!="AY",ROUND(D171*((1+$B171)^($B$24+5)),0),ROUND(I171*(1+$B171),0))</f>
        <v>#REF!</v>
      </c>
      <c r="K171" s="112" t="e">
        <f>IF(C$5=0,0,IF(#REF!="AY",(E171*C$27+F171*C$28)/C$29,'W8'!E171))</f>
        <v>#REF!</v>
      </c>
      <c r="L171" s="112" t="e">
        <f>IF(D$5=0,0,IF(#REF!="AY",(F171*D$27+G171*D$28)/D$29,'W8'!F171))</f>
        <v>#REF!</v>
      </c>
      <c r="M171" s="112" t="e">
        <f>IF(E$5=0,0,IF(#REF!="AY",(G171*E$27+H171*E$28)/E$29,'W8'!G171))</f>
        <v>#REF!</v>
      </c>
      <c r="N171" s="112" t="e">
        <f>IF(F$5=0,0,IF(#REF!="AY",(H171*F$27+I171*F$28)/F$29,'W8'!H171))</f>
        <v>#REF!</v>
      </c>
      <c r="O171" s="112" t="e">
        <f>IF(G$5=0,0,IF(#REF!="AY",(I171*G$27+J171*G$28)/G$29,'W8'!I171))</f>
        <v>#REF!</v>
      </c>
    </row>
    <row r="172" spans="1:18" x14ac:dyDescent="0.2">
      <c r="A172" s="4" t="e">
        <f>#REF!</f>
        <v>#REF!</v>
      </c>
      <c r="B172" s="26" t="e">
        <f>#REF!</f>
        <v>#REF!</v>
      </c>
      <c r="C172" s="41" t="e">
        <f>#REF!</f>
        <v>#REF!</v>
      </c>
      <c r="D172" s="41" t="e">
        <f>IF(#REF!="Use Buydown",C172*0.75,C172)</f>
        <v>#REF!</v>
      </c>
      <c r="E172" s="41" t="e">
        <f>IF(#REF!="AY",ROUND(D172*((1+B172)^$B$24),0),D172)</f>
        <v>#REF!</v>
      </c>
      <c r="F172" s="41" t="e">
        <f>IF(#REF!="AY",ROUND(D172*((1+$B172)^($B$24+1)),0),ROUND(E172*(1+B172),0))</f>
        <v>#REF!</v>
      </c>
      <c r="G172" s="41" t="e">
        <f>IF(#REF!="AY",ROUND(D172*((1+$B172)^($B$24+2)),0),ROUND(F172*(1+$B172),0))</f>
        <v>#REF!</v>
      </c>
      <c r="H172" s="41" t="e">
        <f>IF(#REF!="AY",ROUND(D172*((1+$B172)^($B$24+3)),0),ROUND(G172*(1+$B172),0))</f>
        <v>#REF!</v>
      </c>
      <c r="I172" s="41" t="e">
        <f>IF(#REF!="AY",ROUND(D172*((1+$B172)^($B$24+4)),0),ROUND(H172*(1+$B172),0))</f>
        <v>#REF!</v>
      </c>
      <c r="J172" s="41" t="e">
        <f>IF(#REF!="AY",ROUND(D172*((1+$B172)^($B$24+5)),0),ROUND(I172*(1+$B172),0))</f>
        <v>#REF!</v>
      </c>
      <c r="K172" s="112" t="e">
        <f>IF(C$5=0,0,IF(#REF!="AY",(E172*C$27+F172*C$28)/C$29,'W8'!E172))</f>
        <v>#REF!</v>
      </c>
      <c r="L172" s="112" t="e">
        <f>IF(D$5=0,0,IF(#REF!="AY",(F172*D$27+G172*D$28)/D$29,'W8'!F172))</f>
        <v>#REF!</v>
      </c>
      <c r="M172" s="112" t="e">
        <f>IF(E$5=0,0,IF(#REF!="AY",(G172*E$27+H172*E$28)/E$29,'W8'!G172))</f>
        <v>#REF!</v>
      </c>
      <c r="N172" s="112" t="e">
        <f>IF(F$5=0,0,IF(#REF!="AY",(H172*F$27+I172*F$28)/F$29,'W8'!H172))</f>
        <v>#REF!</v>
      </c>
      <c r="O172" s="112" t="e">
        <f>IF(G$5=0,0,IF(#REF!="AY",(I172*G$27+J172*G$28)/G$29,'W8'!I172))</f>
        <v>#REF!</v>
      </c>
    </row>
    <row r="173" spans="1:18" x14ac:dyDescent="0.2">
      <c r="A173" s="4" t="e">
        <f>#REF!</f>
        <v>#REF!</v>
      </c>
      <c r="B173" s="26" t="e">
        <f>#REF!</f>
        <v>#REF!</v>
      </c>
      <c r="C173" s="41" t="e">
        <f>#REF!</f>
        <v>#REF!</v>
      </c>
      <c r="D173" s="41" t="e">
        <f>IF(#REF!="Use Buydown",C173*0.75,C173)</f>
        <v>#REF!</v>
      </c>
      <c r="E173" s="41" t="e">
        <f>IF(#REF!="AY",ROUND(D173*((1+B173)^$B$24),0),D173)</f>
        <v>#REF!</v>
      </c>
      <c r="F173" s="41" t="e">
        <f>IF(#REF!="AY",ROUND(D173*((1+$B173)^($B$24+1)),0),ROUND(E173*(1+B173),0))</f>
        <v>#REF!</v>
      </c>
      <c r="G173" s="41" t="e">
        <f>IF(#REF!="AY",ROUND(D173*((1+$B173)^($B$24+2)),0),ROUND(F173*(1+$B173),0))</f>
        <v>#REF!</v>
      </c>
      <c r="H173" s="41" t="e">
        <f>IF(#REF!="AY",ROUND(D173*((1+$B173)^($B$24+3)),0),ROUND(G173*(1+$B173),0))</f>
        <v>#REF!</v>
      </c>
      <c r="I173" s="41" t="e">
        <f>IF(#REF!="AY",ROUND(D173*((1+$B173)^($B$24+4)),0),ROUND(H173*(1+$B173),0))</f>
        <v>#REF!</v>
      </c>
      <c r="J173" s="41" t="e">
        <f>IF(#REF!="AY",ROUND(D173*((1+$B173)^($B$24+5)),0),ROUND(I173*(1+$B173),0))</f>
        <v>#REF!</v>
      </c>
      <c r="K173" s="112" t="e">
        <f>IF(C$5=0,0,IF(#REF!="AY",(E173*C$27+F173*C$28)/C$29,'W8'!E173))</f>
        <v>#REF!</v>
      </c>
      <c r="L173" s="112" t="e">
        <f>IF(D$5=0,0,IF(#REF!="AY",(F173*D$27+G173*D$28)/D$29,'W8'!F173))</f>
        <v>#REF!</v>
      </c>
      <c r="M173" s="112" t="e">
        <f>IF(E$5=0,0,IF(#REF!="AY",(G173*E$27+H173*E$28)/E$29,'W8'!G173))</f>
        <v>#REF!</v>
      </c>
      <c r="N173" s="112" t="e">
        <f>IF(F$5=0,0,IF(#REF!="AY",(H173*F$27+I173*F$28)/F$29,'W8'!H173))</f>
        <v>#REF!</v>
      </c>
      <c r="O173" s="112" t="e">
        <f>IF(G$5=0,0,IF(#REF!="AY",(I173*G$27+J173*G$28)/G$29,'W8'!I173))</f>
        <v>#REF!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 t="e">
        <f>#REF!</f>
        <v>#REF!</v>
      </c>
      <c r="B177" s="131" t="e">
        <f>C5</f>
        <v>#REF!</v>
      </c>
      <c r="C177" s="131" t="e">
        <f t="shared" ref="C177:F177" si="35">D5</f>
        <v>#REF!</v>
      </c>
      <c r="D177" s="131" t="e">
        <f t="shared" si="35"/>
        <v>#REF!</v>
      </c>
      <c r="E177" s="131" t="e">
        <f t="shared" si="35"/>
        <v>#REF!</v>
      </c>
      <c r="F177" s="131" t="e">
        <f t="shared" si="35"/>
        <v>#REF!</v>
      </c>
      <c r="G177" s="70" t="e">
        <f>#REF!</f>
        <v>#REF!</v>
      </c>
      <c r="H177" s="70" t="e">
        <f>IF(#REF!="No",(#REF!*B177/12*#REF!),(#REF!*'W8'!B177))</f>
        <v>#REF!</v>
      </c>
      <c r="I177" s="70" t="e">
        <f>IF(#REF!="No",(#REF!*C177/12*#REF!),(#REF!*'W8'!C177))</f>
        <v>#REF!</v>
      </c>
      <c r="J177" s="70" t="e">
        <f>IF(#REF!="No",(#REF!*D177/12*#REF!),(#REF!*'W8'!D177))</f>
        <v>#REF!</v>
      </c>
      <c r="K177" s="70" t="e">
        <f>IF(#REF!="No",(#REF!*E177/12*#REF!),(#REF!*'W8'!E177))</f>
        <v>#REF!</v>
      </c>
      <c r="L177" s="70" t="e">
        <f>IF(#REF!="No",(#REF!*F177/12*#REF!),(#REF!*'W8'!F177))</f>
        <v>#REF!</v>
      </c>
    </row>
    <row r="178" spans="1:12" x14ac:dyDescent="0.2">
      <c r="A178" s="40" t="e">
        <f>#REF!</f>
        <v>#REF!</v>
      </c>
      <c r="B178" s="131" t="e">
        <f>B177</f>
        <v>#REF!</v>
      </c>
      <c r="C178" s="131" t="e">
        <f t="shared" ref="C178:F193" si="36">C177</f>
        <v>#REF!</v>
      </c>
      <c r="D178" s="131" t="e">
        <f t="shared" si="36"/>
        <v>#REF!</v>
      </c>
      <c r="E178" s="131" t="e">
        <f t="shared" si="36"/>
        <v>#REF!</v>
      </c>
      <c r="F178" s="131" t="e">
        <f t="shared" si="36"/>
        <v>#REF!</v>
      </c>
      <c r="G178" s="70" t="e">
        <f>#REF!</f>
        <v>#REF!</v>
      </c>
      <c r="H178" s="70" t="e">
        <f>IF(#REF!="No",(#REF!*B178/12*#REF!),(#REF!*'W8'!B178))</f>
        <v>#REF!</v>
      </c>
      <c r="I178" s="70" t="e">
        <f>IF(#REF!="No",(#REF!*C178/12*#REF!),(#REF!*'W8'!C178))</f>
        <v>#REF!</v>
      </c>
      <c r="J178" s="70" t="e">
        <f>IF(#REF!="No",(#REF!*D178/12*#REF!),(#REF!*'W8'!D178))</f>
        <v>#REF!</v>
      </c>
      <c r="K178" s="70" t="e">
        <f>IF(#REF!="No",(#REF!*E178/12*#REF!),(#REF!*'W8'!E178))</f>
        <v>#REF!</v>
      </c>
      <c r="L178" s="70" t="e">
        <f>IF(#REF!="No",(#REF!*F178/12*#REF!),(#REF!*'W8'!F178))</f>
        <v>#REF!</v>
      </c>
    </row>
    <row r="179" spans="1:12" x14ac:dyDescent="0.2">
      <c r="A179" s="40" t="e">
        <f>#REF!</f>
        <v>#REF!</v>
      </c>
      <c r="B179" s="131" t="e">
        <f t="shared" ref="B179:F194" si="37">B178</f>
        <v>#REF!</v>
      </c>
      <c r="C179" s="131" t="e">
        <f t="shared" si="36"/>
        <v>#REF!</v>
      </c>
      <c r="D179" s="131" t="e">
        <f t="shared" si="36"/>
        <v>#REF!</v>
      </c>
      <c r="E179" s="131" t="e">
        <f t="shared" si="36"/>
        <v>#REF!</v>
      </c>
      <c r="F179" s="131" t="e">
        <f t="shared" si="36"/>
        <v>#REF!</v>
      </c>
      <c r="G179" s="70" t="e">
        <f>#REF!</f>
        <v>#REF!</v>
      </c>
      <c r="H179" s="70" t="e">
        <f>IF(#REF!="No",(#REF!*B179/12*#REF!),(#REF!*'W8'!B179))</f>
        <v>#REF!</v>
      </c>
      <c r="I179" s="70" t="e">
        <f>IF(#REF!="No",(#REF!*C179/12*#REF!),(#REF!*'W8'!C179))</f>
        <v>#REF!</v>
      </c>
      <c r="J179" s="70" t="e">
        <f>IF(#REF!="No",(#REF!*D179/12*#REF!),(#REF!*'W8'!D179))</f>
        <v>#REF!</v>
      </c>
      <c r="K179" s="70" t="e">
        <f>IF(#REF!="No",(#REF!*E179/12*#REF!),(#REF!*'W8'!E179))</f>
        <v>#REF!</v>
      </c>
      <c r="L179" s="70" t="e">
        <f>IF(#REF!="No",(#REF!*F179/12*#REF!),(#REF!*'W8'!F179))</f>
        <v>#REF!</v>
      </c>
    </row>
    <row r="180" spans="1:12" x14ac:dyDescent="0.2">
      <c r="A180" s="40" t="e">
        <f>#REF!</f>
        <v>#REF!</v>
      </c>
      <c r="B180" s="131" t="e">
        <f t="shared" si="37"/>
        <v>#REF!</v>
      </c>
      <c r="C180" s="131" t="e">
        <f t="shared" si="36"/>
        <v>#REF!</v>
      </c>
      <c r="D180" s="131" t="e">
        <f t="shared" si="36"/>
        <v>#REF!</v>
      </c>
      <c r="E180" s="131" t="e">
        <f t="shared" si="36"/>
        <v>#REF!</v>
      </c>
      <c r="F180" s="131" t="e">
        <f t="shared" si="36"/>
        <v>#REF!</v>
      </c>
      <c r="G180" s="70" t="e">
        <f>#REF!</f>
        <v>#REF!</v>
      </c>
      <c r="H180" s="70" t="e">
        <f>IF(#REF!="No",(#REF!*B180/12*#REF!),(#REF!*'W8'!B180))</f>
        <v>#REF!</v>
      </c>
      <c r="I180" s="70" t="e">
        <f>IF(#REF!="No",(#REF!*C180/12*#REF!),(#REF!*'W8'!C180))</f>
        <v>#REF!</v>
      </c>
      <c r="J180" s="70" t="e">
        <f>IF(#REF!="No",(#REF!*D180/12*#REF!),(#REF!*'W8'!D180))</f>
        <v>#REF!</v>
      </c>
      <c r="K180" s="70" t="e">
        <f>IF(#REF!="No",(#REF!*E180/12*#REF!),(#REF!*'W8'!E180))</f>
        <v>#REF!</v>
      </c>
      <c r="L180" s="70" t="e">
        <f>IF(#REF!="No",(#REF!*F180/12*#REF!),(#REF!*'W8'!F180))</f>
        <v>#REF!</v>
      </c>
    </row>
    <row r="181" spans="1:12" x14ac:dyDescent="0.2">
      <c r="A181" s="40" t="e">
        <f>#REF!</f>
        <v>#REF!</v>
      </c>
      <c r="B181" s="131" t="e">
        <f t="shared" si="37"/>
        <v>#REF!</v>
      </c>
      <c r="C181" s="131" t="e">
        <f t="shared" si="36"/>
        <v>#REF!</v>
      </c>
      <c r="D181" s="131" t="e">
        <f t="shared" si="36"/>
        <v>#REF!</v>
      </c>
      <c r="E181" s="131" t="e">
        <f t="shared" si="36"/>
        <v>#REF!</v>
      </c>
      <c r="F181" s="131" t="e">
        <f t="shared" si="36"/>
        <v>#REF!</v>
      </c>
      <c r="G181" s="70" t="e">
        <f>#REF!</f>
        <v>#REF!</v>
      </c>
      <c r="H181" s="70" t="e">
        <f>IF(#REF!="No",(#REF!*B181/12*#REF!),(#REF!*'W8'!B181))</f>
        <v>#REF!</v>
      </c>
      <c r="I181" s="70" t="e">
        <f>IF(#REF!="No",(#REF!*C181/12*#REF!),(#REF!*'W8'!C181))</f>
        <v>#REF!</v>
      </c>
      <c r="J181" s="70" t="e">
        <f>IF(#REF!="No",(#REF!*D181/12*#REF!),(#REF!*'W8'!D181))</f>
        <v>#REF!</v>
      </c>
      <c r="K181" s="70" t="e">
        <f>IF(#REF!="No",(#REF!*E181/12*#REF!),(#REF!*'W8'!E181))</f>
        <v>#REF!</v>
      </c>
      <c r="L181" s="70" t="e">
        <f>IF(#REF!="No",(#REF!*F181/12*#REF!),(#REF!*'W8'!F181))</f>
        <v>#REF!</v>
      </c>
    </row>
    <row r="182" spans="1:12" x14ac:dyDescent="0.2">
      <c r="A182" s="40" t="e">
        <f>#REF!</f>
        <v>#REF!</v>
      </c>
      <c r="B182" s="131" t="e">
        <f t="shared" si="37"/>
        <v>#REF!</v>
      </c>
      <c r="C182" s="131" t="e">
        <f t="shared" si="36"/>
        <v>#REF!</v>
      </c>
      <c r="D182" s="131" t="e">
        <f t="shared" si="36"/>
        <v>#REF!</v>
      </c>
      <c r="E182" s="131" t="e">
        <f t="shared" si="36"/>
        <v>#REF!</v>
      </c>
      <c r="F182" s="131" t="e">
        <f t="shared" si="36"/>
        <v>#REF!</v>
      </c>
      <c r="G182" s="70" t="e">
        <f>#REF!</f>
        <v>#REF!</v>
      </c>
      <c r="H182" s="70" t="e">
        <f>IF(#REF!="No",(#REF!*B182/12*#REF!),(#REF!*'W8'!B182))</f>
        <v>#REF!</v>
      </c>
      <c r="I182" s="70" t="e">
        <f>IF(#REF!="No",(#REF!*C182/12*#REF!),(#REF!*'W8'!C182))</f>
        <v>#REF!</v>
      </c>
      <c r="J182" s="70" t="e">
        <f>IF(#REF!="No",(#REF!*D182/12*#REF!),(#REF!*'W8'!D182))</f>
        <v>#REF!</v>
      </c>
      <c r="K182" s="70" t="e">
        <f>IF(#REF!="No",(#REF!*E182/12*#REF!),(#REF!*'W8'!E182))</f>
        <v>#REF!</v>
      </c>
      <c r="L182" s="70" t="e">
        <f>IF(#REF!="No",(#REF!*F182/12*#REF!),(#REF!*'W8'!F182))</f>
        <v>#REF!</v>
      </c>
    </row>
    <row r="183" spans="1:12" x14ac:dyDescent="0.2">
      <c r="A183" s="40" t="e">
        <f>#REF!</f>
        <v>#REF!</v>
      </c>
      <c r="B183" s="131" t="e">
        <f t="shared" si="37"/>
        <v>#REF!</v>
      </c>
      <c r="C183" s="131" t="e">
        <f t="shared" si="36"/>
        <v>#REF!</v>
      </c>
      <c r="D183" s="131" t="e">
        <f t="shared" si="36"/>
        <v>#REF!</v>
      </c>
      <c r="E183" s="131" t="e">
        <f t="shared" si="36"/>
        <v>#REF!</v>
      </c>
      <c r="F183" s="131" t="e">
        <f t="shared" si="36"/>
        <v>#REF!</v>
      </c>
      <c r="G183" s="70" t="e">
        <f>#REF!</f>
        <v>#REF!</v>
      </c>
      <c r="H183" s="70" t="e">
        <f>IF(#REF!="No",(#REF!*B183/12*#REF!),(#REF!*'W8'!B183))</f>
        <v>#REF!</v>
      </c>
      <c r="I183" s="70" t="e">
        <f>IF(#REF!="No",(#REF!*C183/12*#REF!),(#REF!*'W8'!C183))</f>
        <v>#REF!</v>
      </c>
      <c r="J183" s="70" t="e">
        <f>IF(#REF!="No",(#REF!*D183/12*#REF!),(#REF!*'W8'!D183))</f>
        <v>#REF!</v>
      </c>
      <c r="K183" s="70" t="e">
        <f>IF(#REF!="No",(#REF!*E183/12*#REF!),(#REF!*'W8'!E183))</f>
        <v>#REF!</v>
      </c>
      <c r="L183" s="70" t="e">
        <f>IF(#REF!="No",(#REF!*F183/12*#REF!),(#REF!*'W8'!F183))</f>
        <v>#REF!</v>
      </c>
    </row>
    <row r="184" spans="1:12" x14ac:dyDescent="0.2">
      <c r="A184" s="40" t="e">
        <f>#REF!</f>
        <v>#REF!</v>
      </c>
      <c r="B184" s="131" t="e">
        <f t="shared" si="37"/>
        <v>#REF!</v>
      </c>
      <c r="C184" s="131" t="e">
        <f t="shared" si="36"/>
        <v>#REF!</v>
      </c>
      <c r="D184" s="131" t="e">
        <f t="shared" si="36"/>
        <v>#REF!</v>
      </c>
      <c r="E184" s="131" t="e">
        <f t="shared" si="36"/>
        <v>#REF!</v>
      </c>
      <c r="F184" s="131" t="e">
        <f t="shared" si="36"/>
        <v>#REF!</v>
      </c>
      <c r="G184" s="70" t="e">
        <f>#REF!</f>
        <v>#REF!</v>
      </c>
      <c r="H184" s="70" t="e">
        <f>IF(#REF!="No",(#REF!*B184/12*#REF!),(#REF!*'W8'!B184))</f>
        <v>#REF!</v>
      </c>
      <c r="I184" s="70" t="e">
        <f>IF(#REF!="No",(#REF!*C184/12*#REF!),(#REF!*'W8'!C184))</f>
        <v>#REF!</v>
      </c>
      <c r="J184" s="70" t="e">
        <f>IF(#REF!="No",(#REF!*D184/12*#REF!),(#REF!*'W8'!D184))</f>
        <v>#REF!</v>
      </c>
      <c r="K184" s="70" t="e">
        <f>IF(#REF!="No",(#REF!*E184/12*#REF!),(#REF!*'W8'!E184))</f>
        <v>#REF!</v>
      </c>
      <c r="L184" s="70" t="e">
        <f>IF(#REF!="No",(#REF!*F184/12*#REF!),(#REF!*'W8'!F184))</f>
        <v>#REF!</v>
      </c>
    </row>
    <row r="185" spans="1:12" x14ac:dyDescent="0.2">
      <c r="A185" s="40" t="e">
        <f>#REF!</f>
        <v>#REF!</v>
      </c>
      <c r="B185" s="131" t="e">
        <f t="shared" si="37"/>
        <v>#REF!</v>
      </c>
      <c r="C185" s="131" t="e">
        <f t="shared" si="36"/>
        <v>#REF!</v>
      </c>
      <c r="D185" s="131" t="e">
        <f t="shared" si="36"/>
        <v>#REF!</v>
      </c>
      <c r="E185" s="131" t="e">
        <f t="shared" si="36"/>
        <v>#REF!</v>
      </c>
      <c r="F185" s="131" t="e">
        <f t="shared" si="36"/>
        <v>#REF!</v>
      </c>
      <c r="G185" s="70" t="e">
        <f>#REF!</f>
        <v>#REF!</v>
      </c>
      <c r="H185" s="70" t="e">
        <f>IF(#REF!="No",(#REF!*B185/12*#REF!),(#REF!*'W8'!B185))</f>
        <v>#REF!</v>
      </c>
      <c r="I185" s="70" t="e">
        <f>IF(#REF!="No",(#REF!*C185/12*#REF!),(#REF!*'W8'!C185))</f>
        <v>#REF!</v>
      </c>
      <c r="J185" s="70" t="e">
        <f>IF(#REF!="No",(#REF!*D185/12*#REF!),(#REF!*'W8'!D185))</f>
        <v>#REF!</v>
      </c>
      <c r="K185" s="70" t="e">
        <f>IF(#REF!="No",(#REF!*E185/12*#REF!),(#REF!*'W8'!E185))</f>
        <v>#REF!</v>
      </c>
      <c r="L185" s="70" t="e">
        <f>IF(#REF!="No",(#REF!*F185/12*#REF!),(#REF!*'W8'!F185))</f>
        <v>#REF!</v>
      </c>
    </row>
    <row r="186" spans="1:12" x14ac:dyDescent="0.2">
      <c r="A186" s="40" t="e">
        <f>#REF!</f>
        <v>#REF!</v>
      </c>
      <c r="B186" s="131" t="e">
        <f t="shared" si="37"/>
        <v>#REF!</v>
      </c>
      <c r="C186" s="131" t="e">
        <f t="shared" si="36"/>
        <v>#REF!</v>
      </c>
      <c r="D186" s="131" t="e">
        <f t="shared" si="36"/>
        <v>#REF!</v>
      </c>
      <c r="E186" s="131" t="e">
        <f t="shared" si="36"/>
        <v>#REF!</v>
      </c>
      <c r="F186" s="131" t="e">
        <f t="shared" si="36"/>
        <v>#REF!</v>
      </c>
      <c r="G186" s="70" t="e">
        <f>#REF!</f>
        <v>#REF!</v>
      </c>
      <c r="H186" s="70" t="e">
        <f>IF(#REF!="No",(#REF!*B186/12*#REF!),(#REF!*'W8'!B186))</f>
        <v>#REF!</v>
      </c>
      <c r="I186" s="70" t="e">
        <f>IF(#REF!="No",(#REF!*C186/12*#REF!),(#REF!*'W8'!C186))</f>
        <v>#REF!</v>
      </c>
      <c r="J186" s="70" t="e">
        <f>IF(#REF!="No",(#REF!*D186/12*#REF!),(#REF!*'W8'!D186))</f>
        <v>#REF!</v>
      </c>
      <c r="K186" s="70" t="e">
        <f>IF(#REF!="No",(#REF!*E186/12*#REF!),(#REF!*'W8'!E186))</f>
        <v>#REF!</v>
      </c>
      <c r="L186" s="70" t="e">
        <f>IF(#REF!="No",(#REF!*F186/12*#REF!),(#REF!*'W8'!F186))</f>
        <v>#REF!</v>
      </c>
    </row>
    <row r="187" spans="1:12" x14ac:dyDescent="0.2">
      <c r="A187" s="40" t="e">
        <f>#REF!</f>
        <v>#REF!</v>
      </c>
      <c r="B187" s="131" t="e">
        <f t="shared" si="37"/>
        <v>#REF!</v>
      </c>
      <c r="C187" s="131" t="e">
        <f t="shared" si="36"/>
        <v>#REF!</v>
      </c>
      <c r="D187" s="131" t="e">
        <f t="shared" si="36"/>
        <v>#REF!</v>
      </c>
      <c r="E187" s="131" t="e">
        <f t="shared" si="36"/>
        <v>#REF!</v>
      </c>
      <c r="F187" s="131" t="e">
        <f t="shared" si="36"/>
        <v>#REF!</v>
      </c>
      <c r="G187" s="70" t="e">
        <f>#REF!</f>
        <v>#REF!</v>
      </c>
      <c r="H187" s="70" t="e">
        <f>IF(#REF!="No",(#REF!*B187/12*#REF!),(#REF!*'W8'!B187))</f>
        <v>#REF!</v>
      </c>
      <c r="I187" s="70" t="e">
        <f>IF(#REF!="No",(#REF!*C187/12*#REF!),(#REF!*'W8'!C187))</f>
        <v>#REF!</v>
      </c>
      <c r="J187" s="70" t="e">
        <f>IF(#REF!="No",(#REF!*D187/12*#REF!),(#REF!*'W8'!D187))</f>
        <v>#REF!</v>
      </c>
      <c r="K187" s="70" t="e">
        <f>IF(#REF!="No",(#REF!*E187/12*#REF!),(#REF!*'W8'!E187))</f>
        <v>#REF!</v>
      </c>
      <c r="L187" s="70" t="e">
        <f>IF(#REF!="No",(#REF!*F187/12*#REF!),(#REF!*'W8'!F187))</f>
        <v>#REF!</v>
      </c>
    </row>
    <row r="188" spans="1:12" x14ac:dyDescent="0.2">
      <c r="A188" s="40" t="e">
        <f>#REF!</f>
        <v>#REF!</v>
      </c>
      <c r="B188" s="131" t="e">
        <f t="shared" si="37"/>
        <v>#REF!</v>
      </c>
      <c r="C188" s="131" t="e">
        <f t="shared" si="36"/>
        <v>#REF!</v>
      </c>
      <c r="D188" s="131" t="e">
        <f t="shared" si="36"/>
        <v>#REF!</v>
      </c>
      <c r="E188" s="131" t="e">
        <f t="shared" si="36"/>
        <v>#REF!</v>
      </c>
      <c r="F188" s="131" t="e">
        <f t="shared" si="36"/>
        <v>#REF!</v>
      </c>
      <c r="G188" s="70" t="e">
        <f>#REF!</f>
        <v>#REF!</v>
      </c>
      <c r="H188" s="70" t="e">
        <f>IF(#REF!="No",(#REF!*B188/12*#REF!),(#REF!*'W8'!B188))</f>
        <v>#REF!</v>
      </c>
      <c r="I188" s="70" t="e">
        <f>IF(#REF!="No",(#REF!*C188/12*#REF!),(#REF!*'W8'!C188))</f>
        <v>#REF!</v>
      </c>
      <c r="J188" s="70" t="e">
        <f>IF(#REF!="No",(#REF!*D188/12*#REF!),(#REF!*'W8'!D188))</f>
        <v>#REF!</v>
      </c>
      <c r="K188" s="70" t="e">
        <f>IF(#REF!="No",(#REF!*E188/12*#REF!),(#REF!*'W8'!E188))</f>
        <v>#REF!</v>
      </c>
      <c r="L188" s="70" t="e">
        <f>IF(#REF!="No",(#REF!*F188/12*#REF!),(#REF!*'W8'!F188))</f>
        <v>#REF!</v>
      </c>
    </row>
    <row r="189" spans="1:12" x14ac:dyDescent="0.2">
      <c r="A189" s="40" t="e">
        <f>#REF!</f>
        <v>#REF!</v>
      </c>
      <c r="B189" s="131" t="e">
        <f t="shared" si="37"/>
        <v>#REF!</v>
      </c>
      <c r="C189" s="131" t="e">
        <f t="shared" si="36"/>
        <v>#REF!</v>
      </c>
      <c r="D189" s="131" t="e">
        <f t="shared" si="36"/>
        <v>#REF!</v>
      </c>
      <c r="E189" s="131" t="e">
        <f t="shared" si="36"/>
        <v>#REF!</v>
      </c>
      <c r="F189" s="131" t="e">
        <f t="shared" si="36"/>
        <v>#REF!</v>
      </c>
      <c r="G189" s="70" t="e">
        <f>#REF!</f>
        <v>#REF!</v>
      </c>
      <c r="H189" s="70" t="e">
        <f>IF(#REF!="No",(#REF!*B189/12*#REF!),(#REF!*'W8'!B189))</f>
        <v>#REF!</v>
      </c>
      <c r="I189" s="70" t="e">
        <f>IF(#REF!="No",(#REF!*C189/12*#REF!),(#REF!*'W8'!C189))</f>
        <v>#REF!</v>
      </c>
      <c r="J189" s="70" t="e">
        <f>IF(#REF!="No",(#REF!*D189/12*#REF!),(#REF!*'W8'!D189))</f>
        <v>#REF!</v>
      </c>
      <c r="K189" s="70" t="e">
        <f>IF(#REF!="No",(#REF!*E189/12*#REF!),(#REF!*'W8'!E189))</f>
        <v>#REF!</v>
      </c>
      <c r="L189" s="70" t="e">
        <f>IF(#REF!="No",(#REF!*F189/12*#REF!),(#REF!*'W8'!F189))</f>
        <v>#REF!</v>
      </c>
    </row>
    <row r="190" spans="1:12" x14ac:dyDescent="0.2">
      <c r="A190" s="40" t="e">
        <f>#REF!</f>
        <v>#REF!</v>
      </c>
      <c r="B190" s="131" t="e">
        <f t="shared" si="37"/>
        <v>#REF!</v>
      </c>
      <c r="C190" s="131" t="e">
        <f t="shared" si="36"/>
        <v>#REF!</v>
      </c>
      <c r="D190" s="131" t="e">
        <f t="shared" si="36"/>
        <v>#REF!</v>
      </c>
      <c r="E190" s="131" t="e">
        <f t="shared" si="36"/>
        <v>#REF!</v>
      </c>
      <c r="F190" s="131" t="e">
        <f t="shared" si="36"/>
        <v>#REF!</v>
      </c>
      <c r="G190" s="70" t="e">
        <f>#REF!</f>
        <v>#REF!</v>
      </c>
      <c r="H190" s="70" t="e">
        <f>IF(#REF!="No",(#REF!*B190/12*#REF!),(#REF!*'W8'!B190))</f>
        <v>#REF!</v>
      </c>
      <c r="I190" s="70" t="e">
        <f>IF(#REF!="No",(#REF!*C190/12*#REF!),(#REF!*'W8'!C190))</f>
        <v>#REF!</v>
      </c>
      <c r="J190" s="70" t="e">
        <f>IF(#REF!="No",(#REF!*D190/12*#REF!),(#REF!*'W8'!D190))</f>
        <v>#REF!</v>
      </c>
      <c r="K190" s="70" t="e">
        <f>IF(#REF!="No",(#REF!*E190/12*#REF!),(#REF!*'W8'!E190))</f>
        <v>#REF!</v>
      </c>
      <c r="L190" s="70" t="e">
        <f>IF(#REF!="No",(#REF!*F190/12*#REF!),(#REF!*'W8'!F190))</f>
        <v>#REF!</v>
      </c>
    </row>
    <row r="191" spans="1:12" x14ac:dyDescent="0.2">
      <c r="A191" s="40" t="e">
        <f>#REF!</f>
        <v>#REF!</v>
      </c>
      <c r="B191" s="131" t="e">
        <f t="shared" si="37"/>
        <v>#REF!</v>
      </c>
      <c r="C191" s="131" t="e">
        <f t="shared" si="36"/>
        <v>#REF!</v>
      </c>
      <c r="D191" s="131" t="e">
        <f t="shared" si="36"/>
        <v>#REF!</v>
      </c>
      <c r="E191" s="131" t="e">
        <f t="shared" si="36"/>
        <v>#REF!</v>
      </c>
      <c r="F191" s="131" t="e">
        <f t="shared" si="36"/>
        <v>#REF!</v>
      </c>
      <c r="G191" s="70" t="e">
        <f>#REF!</f>
        <v>#REF!</v>
      </c>
      <c r="H191" s="70" t="e">
        <f>IF(#REF!="No",(#REF!*B191/12*#REF!),(#REF!*'W8'!B191))</f>
        <v>#REF!</v>
      </c>
      <c r="I191" s="70" t="e">
        <f>IF(#REF!="No",(#REF!*C191/12*#REF!),(#REF!*'W8'!C191))</f>
        <v>#REF!</v>
      </c>
      <c r="J191" s="70" t="e">
        <f>IF(#REF!="No",(#REF!*D191/12*#REF!),(#REF!*'W8'!D191))</f>
        <v>#REF!</v>
      </c>
      <c r="K191" s="70" t="e">
        <f>IF(#REF!="No",(#REF!*E191/12*#REF!),(#REF!*'W8'!E191))</f>
        <v>#REF!</v>
      </c>
      <c r="L191" s="70" t="e">
        <f>IF(#REF!="No",(#REF!*F191/12*#REF!),(#REF!*'W8'!F191))</f>
        <v>#REF!</v>
      </c>
    </row>
    <row r="192" spans="1:12" x14ac:dyDescent="0.2">
      <c r="A192" s="40" t="e">
        <f>#REF!</f>
        <v>#REF!</v>
      </c>
      <c r="B192" s="131" t="e">
        <f t="shared" si="37"/>
        <v>#REF!</v>
      </c>
      <c r="C192" s="131" t="e">
        <f t="shared" si="36"/>
        <v>#REF!</v>
      </c>
      <c r="D192" s="131" t="e">
        <f t="shared" si="36"/>
        <v>#REF!</v>
      </c>
      <c r="E192" s="131" t="e">
        <f t="shared" si="36"/>
        <v>#REF!</v>
      </c>
      <c r="F192" s="131" t="e">
        <f t="shared" si="36"/>
        <v>#REF!</v>
      </c>
      <c r="G192" s="70" t="e">
        <f>#REF!</f>
        <v>#REF!</v>
      </c>
      <c r="H192" s="70" t="e">
        <f>IF(#REF!="No",(#REF!*B192/12*#REF!),(#REF!*'W8'!B192))</f>
        <v>#REF!</v>
      </c>
      <c r="I192" s="70" t="e">
        <f>IF(#REF!="No",(#REF!*C192/12*#REF!),(#REF!*'W8'!C192))</f>
        <v>#REF!</v>
      </c>
      <c r="J192" s="70" t="e">
        <f>IF(#REF!="No",(#REF!*D192/12*#REF!),(#REF!*'W8'!D192))</f>
        <v>#REF!</v>
      </c>
      <c r="K192" s="70" t="e">
        <f>IF(#REF!="No",(#REF!*E192/12*#REF!),(#REF!*'W8'!E192))</f>
        <v>#REF!</v>
      </c>
      <c r="L192" s="70" t="e">
        <f>IF(#REF!="No",(#REF!*F192/12*#REF!),(#REF!*'W8'!F192))</f>
        <v>#REF!</v>
      </c>
    </row>
    <row r="193" spans="1:12" x14ac:dyDescent="0.2">
      <c r="A193" s="40" t="e">
        <f>#REF!</f>
        <v>#REF!</v>
      </c>
      <c r="B193" s="131" t="e">
        <f t="shared" si="37"/>
        <v>#REF!</v>
      </c>
      <c r="C193" s="131" t="e">
        <f t="shared" si="36"/>
        <v>#REF!</v>
      </c>
      <c r="D193" s="131" t="e">
        <f t="shared" si="36"/>
        <v>#REF!</v>
      </c>
      <c r="E193" s="131" t="e">
        <f t="shared" si="36"/>
        <v>#REF!</v>
      </c>
      <c r="F193" s="131" t="e">
        <f t="shared" si="36"/>
        <v>#REF!</v>
      </c>
      <c r="G193" s="70" t="e">
        <f>#REF!</f>
        <v>#REF!</v>
      </c>
      <c r="H193" s="70" t="e">
        <f>IF(#REF!="No",(#REF!*B193/12*#REF!),(#REF!*'W8'!B193))</f>
        <v>#REF!</v>
      </c>
      <c r="I193" s="70" t="e">
        <f>IF(#REF!="No",(#REF!*C193/12*#REF!),(#REF!*'W8'!C193))</f>
        <v>#REF!</v>
      </c>
      <c r="J193" s="70" t="e">
        <f>IF(#REF!="No",(#REF!*D193/12*#REF!),(#REF!*'W8'!D193))</f>
        <v>#REF!</v>
      </c>
      <c r="K193" s="70" t="e">
        <f>IF(#REF!="No",(#REF!*E193/12*#REF!),(#REF!*'W8'!E193))</f>
        <v>#REF!</v>
      </c>
      <c r="L193" s="70" t="e">
        <f>IF(#REF!="No",(#REF!*F193/12*#REF!),(#REF!*'W8'!F193))</f>
        <v>#REF!</v>
      </c>
    </row>
    <row r="194" spans="1:12" x14ac:dyDescent="0.2">
      <c r="A194" s="40" t="e">
        <f>#REF!</f>
        <v>#REF!</v>
      </c>
      <c r="B194" s="131" t="e">
        <f t="shared" si="37"/>
        <v>#REF!</v>
      </c>
      <c r="C194" s="131" t="e">
        <f t="shared" si="37"/>
        <v>#REF!</v>
      </c>
      <c r="D194" s="131" t="e">
        <f t="shared" si="37"/>
        <v>#REF!</v>
      </c>
      <c r="E194" s="131" t="e">
        <f t="shared" si="37"/>
        <v>#REF!</v>
      </c>
      <c r="F194" s="131" t="e">
        <f t="shared" si="37"/>
        <v>#REF!</v>
      </c>
      <c r="G194" s="70" t="e">
        <f>#REF!</f>
        <v>#REF!</v>
      </c>
      <c r="H194" s="70" t="e">
        <f>IF(#REF!="No",(#REF!*B194/12*#REF!),(#REF!*'W8'!B194))</f>
        <v>#REF!</v>
      </c>
      <c r="I194" s="70" t="e">
        <f>IF(#REF!="No",(#REF!*C194/12*#REF!),(#REF!*'W8'!C194))</f>
        <v>#REF!</v>
      </c>
      <c r="J194" s="70" t="e">
        <f>IF(#REF!="No",(#REF!*D194/12*#REF!),(#REF!*'W8'!D194))</f>
        <v>#REF!</v>
      </c>
      <c r="K194" s="70" t="e">
        <f>IF(#REF!="No",(#REF!*E194/12*#REF!),(#REF!*'W8'!E194))</f>
        <v>#REF!</v>
      </c>
      <c r="L194" s="70" t="e">
        <f>IF(#REF!="No",(#REF!*F194/12*#REF!),(#REF!*'W8'!F194))</f>
        <v>#REF!</v>
      </c>
    </row>
    <row r="195" spans="1:12" x14ac:dyDescent="0.2">
      <c r="A195" s="40" t="e">
        <f>#REF!</f>
        <v>#REF!</v>
      </c>
      <c r="B195" s="131" t="e">
        <f t="shared" ref="B195:F200" si="38">B194</f>
        <v>#REF!</v>
      </c>
      <c r="C195" s="131" t="e">
        <f t="shared" si="38"/>
        <v>#REF!</v>
      </c>
      <c r="D195" s="131" t="e">
        <f t="shared" si="38"/>
        <v>#REF!</v>
      </c>
      <c r="E195" s="131" t="e">
        <f t="shared" si="38"/>
        <v>#REF!</v>
      </c>
      <c r="F195" s="131" t="e">
        <f t="shared" si="38"/>
        <v>#REF!</v>
      </c>
      <c r="G195" s="70" t="e">
        <f>#REF!</f>
        <v>#REF!</v>
      </c>
      <c r="H195" s="70" t="e">
        <f>IF(#REF!="No",(#REF!*B195/12*#REF!),(#REF!*'W8'!B195))</f>
        <v>#REF!</v>
      </c>
      <c r="I195" s="70" t="e">
        <f>IF(#REF!="No",(#REF!*C195/12*#REF!),(#REF!*'W8'!C195))</f>
        <v>#REF!</v>
      </c>
      <c r="J195" s="70" t="e">
        <f>IF(#REF!="No",(#REF!*D195/12*#REF!),(#REF!*'W8'!D195))</f>
        <v>#REF!</v>
      </c>
      <c r="K195" s="70" t="e">
        <f>IF(#REF!="No",(#REF!*E195/12*#REF!),(#REF!*'W8'!E195))</f>
        <v>#REF!</v>
      </c>
      <c r="L195" s="70" t="e">
        <f>IF(#REF!="No",(#REF!*F195/12*#REF!),(#REF!*'W8'!F195))</f>
        <v>#REF!</v>
      </c>
    </row>
    <row r="196" spans="1:12" x14ac:dyDescent="0.2">
      <c r="A196" s="40" t="e">
        <f>#REF!</f>
        <v>#REF!</v>
      </c>
      <c r="B196" s="131" t="e">
        <f t="shared" si="38"/>
        <v>#REF!</v>
      </c>
      <c r="C196" s="131" t="e">
        <f t="shared" si="38"/>
        <v>#REF!</v>
      </c>
      <c r="D196" s="131" t="e">
        <f t="shared" si="38"/>
        <v>#REF!</v>
      </c>
      <c r="E196" s="131" t="e">
        <f t="shared" si="38"/>
        <v>#REF!</v>
      </c>
      <c r="F196" s="131" t="e">
        <f t="shared" si="38"/>
        <v>#REF!</v>
      </c>
      <c r="G196" s="70" t="e">
        <f>#REF!</f>
        <v>#REF!</v>
      </c>
      <c r="H196" s="70" t="e">
        <f>IF(#REF!="No",(#REF!*B196/12*#REF!),(#REF!*'W8'!B196))</f>
        <v>#REF!</v>
      </c>
      <c r="I196" s="70" t="e">
        <f>IF(#REF!="No",(#REF!*C196/12*#REF!),(#REF!*'W8'!C196))</f>
        <v>#REF!</v>
      </c>
      <c r="J196" s="70" t="e">
        <f>IF(#REF!="No",(#REF!*D196/12*#REF!),(#REF!*'W8'!D196))</f>
        <v>#REF!</v>
      </c>
      <c r="K196" s="70" t="e">
        <f>IF(#REF!="No",(#REF!*E196/12*#REF!),(#REF!*'W8'!E196))</f>
        <v>#REF!</v>
      </c>
      <c r="L196" s="70" t="e">
        <f>IF(#REF!="No",(#REF!*F196/12*#REF!),(#REF!*'W8'!F196))</f>
        <v>#REF!</v>
      </c>
    </row>
    <row r="197" spans="1:12" x14ac:dyDescent="0.2">
      <c r="A197" s="40" t="e">
        <f>#REF!</f>
        <v>#REF!</v>
      </c>
      <c r="B197" s="131" t="e">
        <f t="shared" si="38"/>
        <v>#REF!</v>
      </c>
      <c r="C197" s="131" t="e">
        <f t="shared" si="38"/>
        <v>#REF!</v>
      </c>
      <c r="D197" s="131" t="e">
        <f t="shared" si="38"/>
        <v>#REF!</v>
      </c>
      <c r="E197" s="131" t="e">
        <f t="shared" si="38"/>
        <v>#REF!</v>
      </c>
      <c r="F197" s="131" t="e">
        <f t="shared" si="38"/>
        <v>#REF!</v>
      </c>
      <c r="G197" s="70" t="e">
        <f>#REF!</f>
        <v>#REF!</v>
      </c>
      <c r="H197" s="70" t="e">
        <f>IF(#REF!="No",(#REF!*B197/12*#REF!),(#REF!*'W8'!B197))</f>
        <v>#REF!</v>
      </c>
      <c r="I197" s="70" t="e">
        <f>IF(#REF!="No",(#REF!*C197/12*#REF!),(#REF!*'W8'!C197))</f>
        <v>#REF!</v>
      </c>
      <c r="J197" s="70" t="e">
        <f>IF(#REF!="No",(#REF!*D197/12*#REF!),(#REF!*'W8'!D197))</f>
        <v>#REF!</v>
      </c>
      <c r="K197" s="70" t="e">
        <f>IF(#REF!="No",(#REF!*E197/12*#REF!),(#REF!*'W8'!E197))</f>
        <v>#REF!</v>
      </c>
      <c r="L197" s="70" t="e">
        <f>IF(#REF!="No",(#REF!*F197/12*#REF!),(#REF!*'W8'!F197))</f>
        <v>#REF!</v>
      </c>
    </row>
    <row r="198" spans="1:12" x14ac:dyDescent="0.2">
      <c r="A198" s="40" t="e">
        <f>#REF!</f>
        <v>#REF!</v>
      </c>
      <c r="B198" s="131" t="e">
        <f t="shared" si="38"/>
        <v>#REF!</v>
      </c>
      <c r="C198" s="131" t="e">
        <f t="shared" si="38"/>
        <v>#REF!</v>
      </c>
      <c r="D198" s="131" t="e">
        <f t="shared" si="38"/>
        <v>#REF!</v>
      </c>
      <c r="E198" s="131" t="e">
        <f t="shared" si="38"/>
        <v>#REF!</v>
      </c>
      <c r="F198" s="131" t="e">
        <f t="shared" si="38"/>
        <v>#REF!</v>
      </c>
      <c r="G198" s="70" t="e">
        <f>#REF!</f>
        <v>#REF!</v>
      </c>
      <c r="H198" s="70" t="e">
        <f>IF(#REF!="No",(#REF!*B198/12*#REF!),(#REF!*'W8'!B198))</f>
        <v>#REF!</v>
      </c>
      <c r="I198" s="70" t="e">
        <f>IF(#REF!="No",(#REF!*C198/12*#REF!),(#REF!*'W8'!C198))</f>
        <v>#REF!</v>
      </c>
      <c r="J198" s="70" t="e">
        <f>IF(#REF!="No",(#REF!*D198/12*#REF!),(#REF!*'W8'!D198))</f>
        <v>#REF!</v>
      </c>
      <c r="K198" s="70" t="e">
        <f>IF(#REF!="No",(#REF!*E198/12*#REF!),(#REF!*'W8'!E198))</f>
        <v>#REF!</v>
      </c>
      <c r="L198" s="70" t="e">
        <f>IF(#REF!="No",(#REF!*F198/12*#REF!),(#REF!*'W8'!F198))</f>
        <v>#REF!</v>
      </c>
    </row>
    <row r="199" spans="1:12" x14ac:dyDescent="0.2">
      <c r="A199" s="40" t="e">
        <f>#REF!</f>
        <v>#REF!</v>
      </c>
      <c r="B199" s="131" t="e">
        <f t="shared" si="38"/>
        <v>#REF!</v>
      </c>
      <c r="C199" s="131" t="e">
        <f t="shared" si="38"/>
        <v>#REF!</v>
      </c>
      <c r="D199" s="131" t="e">
        <f t="shared" si="38"/>
        <v>#REF!</v>
      </c>
      <c r="E199" s="131" t="e">
        <f t="shared" si="38"/>
        <v>#REF!</v>
      </c>
      <c r="F199" s="131" t="e">
        <f t="shared" si="38"/>
        <v>#REF!</v>
      </c>
      <c r="G199" s="70" t="e">
        <f>#REF!</f>
        <v>#REF!</v>
      </c>
      <c r="H199" s="70" t="e">
        <f>IF(#REF!="No",(#REF!*B199/12*#REF!),(#REF!*'W8'!B199))</f>
        <v>#REF!</v>
      </c>
      <c r="I199" s="70" t="e">
        <f>IF(#REF!="No",(#REF!*C199/12*#REF!),(#REF!*'W8'!C199))</f>
        <v>#REF!</v>
      </c>
      <c r="J199" s="70" t="e">
        <f>IF(#REF!="No",(#REF!*D199/12*#REF!),(#REF!*'W8'!D199))</f>
        <v>#REF!</v>
      </c>
      <c r="K199" s="70" t="e">
        <f>IF(#REF!="No",(#REF!*E199/12*#REF!),(#REF!*'W8'!E199))</f>
        <v>#REF!</v>
      </c>
      <c r="L199" s="70" t="e">
        <f>IF(#REF!="No",(#REF!*F199/12*#REF!),(#REF!*'W8'!F199))</f>
        <v>#REF!</v>
      </c>
    </row>
    <row r="200" spans="1:12" x14ac:dyDescent="0.2">
      <c r="A200" s="40" t="e">
        <f>#REF!</f>
        <v>#REF!</v>
      </c>
      <c r="B200" s="131" t="e">
        <f t="shared" si="38"/>
        <v>#REF!</v>
      </c>
      <c r="C200" s="131" t="e">
        <f t="shared" si="38"/>
        <v>#REF!</v>
      </c>
      <c r="D200" s="131" t="e">
        <f t="shared" si="38"/>
        <v>#REF!</v>
      </c>
      <c r="E200" s="131" t="e">
        <f t="shared" si="38"/>
        <v>#REF!</v>
      </c>
      <c r="F200" s="131" t="e">
        <f t="shared" si="38"/>
        <v>#REF!</v>
      </c>
      <c r="G200" s="70" t="e">
        <f>#REF!</f>
        <v>#REF!</v>
      </c>
      <c r="H200" s="70" t="e">
        <f>IF(#REF!="No",(#REF!*B200/12*#REF!),(#REF!*'W8'!B200))</f>
        <v>#REF!</v>
      </c>
      <c r="I200" s="70" t="e">
        <f>IF(#REF!="No",(#REF!*C200/12*#REF!),(#REF!*'W8'!C200))</f>
        <v>#REF!</v>
      </c>
      <c r="J200" s="70" t="e">
        <f>IF(#REF!="No",(#REF!*D200/12*#REF!),(#REF!*'W8'!D200))</f>
        <v>#REF!</v>
      </c>
      <c r="K200" s="70" t="e">
        <f>IF(#REF!="No",(#REF!*E200/12*#REF!),(#REF!*'W8'!E200))</f>
        <v>#REF!</v>
      </c>
      <c r="L200" s="70" t="e">
        <f>IF(#REF!="No",(#REF!*F200/12*#REF!),(#REF!*'W8'!F200))</f>
        <v>#REF!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 t="e">
        <f>C13</f>
        <v>#REF!</v>
      </c>
      <c r="F204" s="112" t="e">
        <f t="shared" ref="F204:H205" si="39">D13</f>
        <v>#REF!</v>
      </c>
      <c r="G204" s="112" t="e">
        <f t="shared" si="39"/>
        <v>#REF!</v>
      </c>
      <c r="H204" s="112" t="e">
        <f t="shared" si="39"/>
        <v>#REF!</v>
      </c>
      <c r="I204" s="112" t="e">
        <f>G13</f>
        <v>#REF!</v>
      </c>
    </row>
    <row r="205" spans="1:12" x14ac:dyDescent="0.2">
      <c r="A205" s="318"/>
      <c r="B205" s="315" t="s">
        <v>146</v>
      </c>
      <c r="C205" s="315"/>
      <c r="D205" s="316"/>
      <c r="E205" s="112" t="e">
        <f>C14</f>
        <v>#REF!</v>
      </c>
      <c r="F205" s="112" t="e">
        <f t="shared" si="39"/>
        <v>#REF!</v>
      </c>
      <c r="G205" s="112" t="e">
        <f t="shared" si="39"/>
        <v>#REF!</v>
      </c>
      <c r="H205" s="112" t="e">
        <f t="shared" si="39"/>
        <v>#REF!</v>
      </c>
      <c r="I205" s="112" t="e">
        <f>G14</f>
        <v>#REF!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 t="e">
        <f>IF(AND(MONTH(C2)=9,DAY(C2)&lt;=5),0.5,IF(AND(MONTH(C2)=7,DAY(C2)&lt;=5),2.5,IF(AND(MONTH(C2)=7,DAY(C2)&gt;5),2,IF(AND(MONTH(C2)=8,DAY(C2)&lt;=5),1.5,IF(AND(MONTH(C2)=8,DAY(C2)&gt;5),1,0)))))</f>
        <v>#REF!</v>
      </c>
      <c r="F206" s="4" t="e">
        <f t="shared" ref="F206:H206" si="40">IF(AND(MONTH(D2)=9,DAY(D2)&lt;=5),0.5,IF(AND(MONTH(D2)=7,DAY(D2)&lt;=5),2.5,IF(AND(MONTH(D2)=7,DAY(D2)&gt;5),2,IF(AND(MONTH(D2)=8,DAY(D2)&lt;=5),1.5,IF(AND(MONTH(D2)=8,DAY(D2)&gt;5),1,0)))))</f>
        <v>#REF!</v>
      </c>
      <c r="G206" s="4" t="e">
        <f t="shared" si="40"/>
        <v>#REF!</v>
      </c>
      <c r="H206" s="4" t="e">
        <f t="shared" si="40"/>
        <v>#REF!</v>
      </c>
      <c r="I206" s="4" t="e">
        <f>IF(AND(MONTH(G2)=9,DAY(G2)&lt;=5),0.5,IF(AND(MONTH(G2)=7,DAY(G2)&lt;=5),2.5,IF(AND(MONTH(G2)=7,DAY(G2)&gt;5),2,IF(AND(MONTH(G2)=8,DAY(G2)&lt;=5),1.5,IF(AND(MONTH(G2)=8,DAY(G2)&gt;5),1,0)))))</f>
        <v>#REF!</v>
      </c>
    </row>
    <row r="207" spans="1:12" x14ac:dyDescent="0.2">
      <c r="A207" s="318"/>
      <c r="B207" s="315" t="s">
        <v>146</v>
      </c>
      <c r="C207" s="315"/>
      <c r="D207" s="316"/>
      <c r="E207" s="4" t="e">
        <f>2.5-E206</f>
        <v>#REF!</v>
      </c>
      <c r="F207" s="4" t="e">
        <f>IF(D4="",0,2.5-F206)</f>
        <v>#REF!</v>
      </c>
      <c r="G207" s="4" t="e">
        <f t="shared" ref="G207:I207" si="41">IF(E4="",0,2.5-G206)</f>
        <v>#REF!</v>
      </c>
      <c r="H207" s="4" t="e">
        <f t="shared" si="41"/>
        <v>#REF!</v>
      </c>
      <c r="I207" s="4" t="e">
        <f t="shared" si="41"/>
        <v>#REF!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 t="e">
        <f>IF(AND(MONTH(C2)=7,DAY(C2)&lt;=5),2,IF(AND(MONTH(C2)=7,DAY(C2)&gt;5),1.5,IF(AND(MONTH(C2)=8,DAY(C2)&lt;=5),1,IF(AND(MONTH(C2)=8,DAY(C2)&gt;5),0.5,0))))</f>
        <v>#REF!</v>
      </c>
      <c r="F208" s="4" t="e">
        <f t="shared" ref="F208:I208" si="42">IF(AND(MONTH(D2)=7,DAY(D2)&lt;=5),2,IF(AND(MONTH(D2)=7,DAY(D2)&gt;5),1.5,IF(AND(MONTH(D2)=8,DAY(D2)&lt;=5),1,IF(AND(MONTH(D2)=8,DAY(D2)&gt;5),0.5,0))))</f>
        <v>#REF!</v>
      </c>
      <c r="G208" s="4" t="e">
        <f t="shared" si="42"/>
        <v>#REF!</v>
      </c>
      <c r="H208" s="4" t="e">
        <f t="shared" si="42"/>
        <v>#REF!</v>
      </c>
      <c r="I208" s="4" t="e">
        <f t="shared" si="42"/>
        <v>#REF!</v>
      </c>
    </row>
    <row r="209" spans="1:12" x14ac:dyDescent="0.2">
      <c r="A209" s="318"/>
      <c r="B209" s="315" t="s">
        <v>146</v>
      </c>
      <c r="C209" s="315"/>
      <c r="D209" s="316"/>
      <c r="E209" s="4" t="e">
        <f>2-E208</f>
        <v>#REF!</v>
      </c>
      <c r="F209" s="4" t="e">
        <f>IF(D4="",0,2-F208)</f>
        <v>#REF!</v>
      </c>
      <c r="G209" s="4" t="e">
        <f t="shared" ref="G209:I209" si="43">IF(E4="",0,2-G208)</f>
        <v>#REF!</v>
      </c>
      <c r="H209" s="4" t="e">
        <f t="shared" si="43"/>
        <v>#REF!</v>
      </c>
      <c r="I209" s="4" t="e">
        <f t="shared" si="43"/>
        <v>#REF!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 t="e">
        <f>IF(E206&gt;C9,C9,E206)</f>
        <v>#REF!</v>
      </c>
      <c r="F210" s="114" t="e">
        <f>IF(F206&gt;D9,D9,F206)</f>
        <v>#REF!</v>
      </c>
      <c r="G210" s="114" t="e">
        <f t="shared" ref="G210:I210" si="44">IF(G206&gt;E9,E9,G206)</f>
        <v>#REF!</v>
      </c>
      <c r="H210" s="114" t="e">
        <f t="shared" si="44"/>
        <v>#REF!</v>
      </c>
      <c r="I210" s="114" t="e">
        <f t="shared" si="44"/>
        <v>#REF!</v>
      </c>
    </row>
    <row r="211" spans="1:12" x14ac:dyDescent="0.2">
      <c r="A211" s="318"/>
      <c r="B211" s="315" t="s">
        <v>148</v>
      </c>
      <c r="C211" s="315"/>
      <c r="D211" s="316"/>
      <c r="E211" s="114" t="e">
        <f>IF(E207&gt;C10,C10,E207)</f>
        <v>#REF!</v>
      </c>
      <c r="F211" s="114" t="e">
        <f t="shared" ref="F211:I211" si="45">IF(F207&gt;D10,D10,F207)</f>
        <v>#REF!</v>
      </c>
      <c r="G211" s="114" t="e">
        <f t="shared" si="45"/>
        <v>#REF!</v>
      </c>
      <c r="H211" s="114" t="e">
        <f t="shared" si="45"/>
        <v>#REF!</v>
      </c>
      <c r="I211" s="114" t="e">
        <f t="shared" si="45"/>
        <v>#REF!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 t="e">
        <f>IF(E208&gt;C9,C9,E208)</f>
        <v>#REF!</v>
      </c>
      <c r="F212" s="114" t="e">
        <f t="shared" ref="F212:I213" si="46">IF(F208&gt;D9,D9,F208)</f>
        <v>#REF!</v>
      </c>
      <c r="G212" s="114" t="e">
        <f t="shared" si="46"/>
        <v>#REF!</v>
      </c>
      <c r="H212" s="114" t="e">
        <f t="shared" si="46"/>
        <v>#REF!</v>
      </c>
      <c r="I212" s="114" t="e">
        <f t="shared" si="46"/>
        <v>#REF!</v>
      </c>
    </row>
    <row r="213" spans="1:12" x14ac:dyDescent="0.2">
      <c r="A213" s="318"/>
      <c r="B213" s="315" t="s">
        <v>148</v>
      </c>
      <c r="C213" s="315"/>
      <c r="D213" s="316"/>
      <c r="E213" s="114" t="e">
        <f>IF(E209&gt;C10,C10,E209)</f>
        <v>#REF!</v>
      </c>
      <c r="F213" s="114" t="e">
        <f t="shared" si="46"/>
        <v>#REF!</v>
      </c>
      <c r="G213" s="114" t="e">
        <f t="shared" si="46"/>
        <v>#REF!</v>
      </c>
      <c r="H213" s="114" t="e">
        <f>IF(H209&gt;F10,F10,H209)</f>
        <v>#REF!</v>
      </c>
      <c r="I213" s="114" t="e">
        <f t="shared" si="46"/>
        <v>#REF!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 t="e">
        <f t="shared" ref="A218:A241" si="47">A177</f>
        <v>#REF!</v>
      </c>
      <c r="B218" s="4" t="e">
        <f>IF(L218="A",IF(H177&lt;$E$204,H177,$E$204),IF(L218="B",IF(H177&lt;$E$210,H177,$E$210),IF(L218="C",IF(H177&lt;$E$212,H177,$E$212),IF(L218="D",0))))</f>
        <v>#REF!</v>
      </c>
      <c r="C218" s="70" t="e">
        <f t="shared" ref="C218:C241" si="48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70" t="e">
        <f t="shared" ref="E218:E241" si="49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70" t="e">
        <f t="shared" ref="G218:G241" si="50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70" t="e">
        <f t="shared" ref="I218:I241" si="51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70" t="e">
        <f t="shared" ref="K218:K241" si="52">L177-J218</f>
        <v>#REF!</v>
      </c>
      <c r="L218" s="1" t="e">
        <f>IF(#REF!="F-SMRA","A",IF(#REF!="F-SMRB","B",IF(#REF!="F-SMRC","C","D")))</f>
        <v>#REF!</v>
      </c>
    </row>
    <row r="219" spans="1:12" x14ac:dyDescent="0.2">
      <c r="A219" s="257" t="e">
        <f t="shared" si="47"/>
        <v>#REF!</v>
      </c>
      <c r="B219" s="4" t="e">
        <f t="shared" ref="B219:B241" si="53">IF(L219="A",IF(H178&lt;$E$204,H178,$E$204),IF(L219="B",IF(H178&lt;$E$210,H178,$E$210),IF(L219="C",IF(H178&lt;$E$212,H178,$E$212),IF(L219="D",0))))</f>
        <v>#REF!</v>
      </c>
      <c r="C219" s="70" t="e">
        <f t="shared" si="48"/>
        <v>#REF!</v>
      </c>
      <c r="D219" s="4" t="e">
        <f t="shared" ref="D219:D241" si="54">IF(L219="A",IF(I178&lt;$F$204,I178,$F$204),IF(L219="B",IF(I178&lt;$F$210,I178,$F$210),IF(L219="C",IF(I178&lt;$F$212,I178,$F$212),IF(L219="D",0))))</f>
        <v>#REF!</v>
      </c>
      <c r="E219" s="70" t="e">
        <f t="shared" si="49"/>
        <v>#REF!</v>
      </c>
      <c r="F219" s="4" t="e">
        <f t="shared" ref="F219:F241" si="55">IF(L219="A",IF(J178&lt;$G$204,J178,$G$204),IF(L219="B",IF(J178&lt;$G$210,J178,$G$210),IF(L219="C",IF(J178&lt;$G$212,J178,$G$212),IF(L219="D",0))))</f>
        <v>#REF!</v>
      </c>
      <c r="G219" s="70" t="e">
        <f t="shared" si="50"/>
        <v>#REF!</v>
      </c>
      <c r="H219" s="4" t="e">
        <f t="shared" ref="H219:H241" si="56">IF(L219="A",IF(K178&lt;$H$204,K178,$H$204),IF(L219="B",IF(K178&lt;$H$210,K178,$H$210),IF(L219="C",IF(K178&lt;$H$212,K178,$H$212),IF(L219="D",0))))</f>
        <v>#REF!</v>
      </c>
      <c r="I219" s="70" t="e">
        <f t="shared" si="51"/>
        <v>#REF!</v>
      </c>
      <c r="J219" s="4" t="e">
        <f t="shared" ref="J219:J241" si="57">IF(L219="A",IF(L178&lt;$I$204,L178,$I$204),IF(L219="B",IF(L178&lt;$I$210,L178,$I$210),IF(L219="C",IF(L178&lt;$I$212,L178,$I$212),IF(L219="D",0))))</f>
        <v>#REF!</v>
      </c>
      <c r="K219" s="70" t="e">
        <f t="shared" si="52"/>
        <v>#REF!</v>
      </c>
      <c r="L219" s="1" t="e">
        <f>IF(#REF!="F-SMRA","A",IF(#REF!="F-SMRB","B",IF(#REF!="F-SMRC","C","D")))</f>
        <v>#REF!</v>
      </c>
    </row>
    <row r="220" spans="1:12" x14ac:dyDescent="0.2">
      <c r="A220" s="257" t="e">
        <f t="shared" si="47"/>
        <v>#REF!</v>
      </c>
      <c r="B220" s="4" t="e">
        <f t="shared" si="53"/>
        <v>#REF!</v>
      </c>
      <c r="C220" s="70" t="e">
        <f t="shared" si="48"/>
        <v>#REF!</v>
      </c>
      <c r="D220" s="4" t="e">
        <f t="shared" si="54"/>
        <v>#REF!</v>
      </c>
      <c r="E220" s="70" t="e">
        <f t="shared" si="49"/>
        <v>#REF!</v>
      </c>
      <c r="F220" s="4" t="e">
        <f t="shared" si="55"/>
        <v>#REF!</v>
      </c>
      <c r="G220" s="70" t="e">
        <f t="shared" si="50"/>
        <v>#REF!</v>
      </c>
      <c r="H220" s="4" t="e">
        <f t="shared" si="56"/>
        <v>#REF!</v>
      </c>
      <c r="I220" s="70" t="e">
        <f t="shared" si="51"/>
        <v>#REF!</v>
      </c>
      <c r="J220" s="4" t="e">
        <f t="shared" si="57"/>
        <v>#REF!</v>
      </c>
      <c r="K220" s="70" t="e">
        <f t="shared" si="52"/>
        <v>#REF!</v>
      </c>
      <c r="L220" s="1" t="e">
        <f>IF(#REF!="F-SMRA","A",IF(#REF!="F-SMRB","B",IF(#REF!="F-SMRC","C","D")))</f>
        <v>#REF!</v>
      </c>
    </row>
    <row r="221" spans="1:12" x14ac:dyDescent="0.2">
      <c r="A221" s="257" t="e">
        <f t="shared" si="47"/>
        <v>#REF!</v>
      </c>
      <c r="B221" s="4" t="e">
        <f t="shared" si="53"/>
        <v>#REF!</v>
      </c>
      <c r="C221" s="70" t="e">
        <f t="shared" si="48"/>
        <v>#REF!</v>
      </c>
      <c r="D221" s="4" t="e">
        <f t="shared" si="54"/>
        <v>#REF!</v>
      </c>
      <c r="E221" s="70" t="e">
        <f t="shared" si="49"/>
        <v>#REF!</v>
      </c>
      <c r="F221" s="4" t="e">
        <f t="shared" si="55"/>
        <v>#REF!</v>
      </c>
      <c r="G221" s="70" t="e">
        <f t="shared" si="50"/>
        <v>#REF!</v>
      </c>
      <c r="H221" s="4" t="e">
        <f t="shared" si="56"/>
        <v>#REF!</v>
      </c>
      <c r="I221" s="70" t="e">
        <f t="shared" si="51"/>
        <v>#REF!</v>
      </c>
      <c r="J221" s="4" t="e">
        <f t="shared" si="57"/>
        <v>#REF!</v>
      </c>
      <c r="K221" s="70" t="e">
        <f t="shared" si="52"/>
        <v>#REF!</v>
      </c>
      <c r="L221" s="1" t="e">
        <f>IF(#REF!="F-SMRA","A",IF(#REF!="F-SMRB","B",IF(#REF!="F-SMRC","C","D")))</f>
        <v>#REF!</v>
      </c>
    </row>
    <row r="222" spans="1:12" x14ac:dyDescent="0.2">
      <c r="A222" s="257" t="e">
        <f t="shared" si="47"/>
        <v>#REF!</v>
      </c>
      <c r="B222" s="4" t="e">
        <f t="shared" si="53"/>
        <v>#REF!</v>
      </c>
      <c r="C222" s="70" t="e">
        <f t="shared" si="48"/>
        <v>#REF!</v>
      </c>
      <c r="D222" s="4" t="e">
        <f t="shared" si="54"/>
        <v>#REF!</v>
      </c>
      <c r="E222" s="70" t="e">
        <f t="shared" si="49"/>
        <v>#REF!</v>
      </c>
      <c r="F222" s="4" t="e">
        <f t="shared" si="55"/>
        <v>#REF!</v>
      </c>
      <c r="G222" s="70" t="e">
        <f t="shared" si="50"/>
        <v>#REF!</v>
      </c>
      <c r="H222" s="4" t="e">
        <f t="shared" si="56"/>
        <v>#REF!</v>
      </c>
      <c r="I222" s="70" t="e">
        <f t="shared" si="51"/>
        <v>#REF!</v>
      </c>
      <c r="J222" s="4" t="e">
        <f t="shared" si="57"/>
        <v>#REF!</v>
      </c>
      <c r="K222" s="70" t="e">
        <f t="shared" si="52"/>
        <v>#REF!</v>
      </c>
      <c r="L222" s="1" t="e">
        <f>IF(#REF!="F-SMRA","A",IF(#REF!="F-SMRB","B",IF(#REF!="F-SMRC","C","D")))</f>
        <v>#REF!</v>
      </c>
    </row>
    <row r="223" spans="1:12" x14ac:dyDescent="0.2">
      <c r="A223" s="257" t="e">
        <f t="shared" si="47"/>
        <v>#REF!</v>
      </c>
      <c r="B223" s="4" t="e">
        <f t="shared" si="53"/>
        <v>#REF!</v>
      </c>
      <c r="C223" s="70" t="e">
        <f t="shared" si="48"/>
        <v>#REF!</v>
      </c>
      <c r="D223" s="4" t="e">
        <f t="shared" si="54"/>
        <v>#REF!</v>
      </c>
      <c r="E223" s="70" t="e">
        <f t="shared" si="49"/>
        <v>#REF!</v>
      </c>
      <c r="F223" s="4" t="e">
        <f t="shared" si="55"/>
        <v>#REF!</v>
      </c>
      <c r="G223" s="70" t="e">
        <f t="shared" si="50"/>
        <v>#REF!</v>
      </c>
      <c r="H223" s="4" t="e">
        <f t="shared" si="56"/>
        <v>#REF!</v>
      </c>
      <c r="I223" s="70" t="e">
        <f t="shared" si="51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70" t="e">
        <f t="shared" si="52"/>
        <v>#REF!</v>
      </c>
      <c r="L223" s="1" t="e">
        <f>IF(#REF!="F-SMRA","A",IF(#REF!="F-SMRB","B",IF(#REF!="F-SMRC","C","D")))</f>
        <v>#REF!</v>
      </c>
    </row>
    <row r="224" spans="1:12" x14ac:dyDescent="0.2">
      <c r="A224" s="257" t="e">
        <f t="shared" si="47"/>
        <v>#REF!</v>
      </c>
      <c r="B224" s="4" t="e">
        <f t="shared" si="53"/>
        <v>#REF!</v>
      </c>
      <c r="C224" s="70" t="e">
        <f t="shared" si="48"/>
        <v>#REF!</v>
      </c>
      <c r="D224" s="4" t="e">
        <f t="shared" si="54"/>
        <v>#REF!</v>
      </c>
      <c r="E224" s="70" t="e">
        <f t="shared" si="49"/>
        <v>#REF!</v>
      </c>
      <c r="F224" s="4" t="e">
        <f t="shared" si="55"/>
        <v>#REF!</v>
      </c>
      <c r="G224" s="70" t="e">
        <f t="shared" si="50"/>
        <v>#REF!</v>
      </c>
      <c r="H224" s="4" t="e">
        <f t="shared" si="56"/>
        <v>#REF!</v>
      </c>
      <c r="I224" s="70" t="e">
        <f t="shared" si="51"/>
        <v>#REF!</v>
      </c>
      <c r="J224" s="4" t="e">
        <f t="shared" si="57"/>
        <v>#REF!</v>
      </c>
      <c r="K224" s="70" t="e">
        <f t="shared" si="52"/>
        <v>#REF!</v>
      </c>
      <c r="L224" s="1" t="e">
        <f>IF(#REF!="F-SMRA","A",IF(#REF!="F-SMRB","B",IF(#REF!="F-SMRC","C","D")))</f>
        <v>#REF!</v>
      </c>
    </row>
    <row r="225" spans="1:12" x14ac:dyDescent="0.2">
      <c r="A225" s="257" t="e">
        <f t="shared" si="47"/>
        <v>#REF!</v>
      </c>
      <c r="B225" s="4" t="e">
        <f t="shared" si="53"/>
        <v>#REF!</v>
      </c>
      <c r="C225" s="70" t="e">
        <f t="shared" si="48"/>
        <v>#REF!</v>
      </c>
      <c r="D225" s="4" t="e">
        <f t="shared" si="54"/>
        <v>#REF!</v>
      </c>
      <c r="E225" s="70" t="e">
        <f t="shared" si="49"/>
        <v>#REF!</v>
      </c>
      <c r="F225" s="4" t="e">
        <f t="shared" si="55"/>
        <v>#REF!</v>
      </c>
      <c r="G225" s="70" t="e">
        <f t="shared" si="50"/>
        <v>#REF!</v>
      </c>
      <c r="H225" s="4" t="e">
        <f t="shared" si="56"/>
        <v>#REF!</v>
      </c>
      <c r="I225" s="70" t="e">
        <f t="shared" si="51"/>
        <v>#REF!</v>
      </c>
      <c r="J225" s="4" t="e">
        <f t="shared" si="57"/>
        <v>#REF!</v>
      </c>
      <c r="K225" s="70" t="e">
        <f t="shared" si="52"/>
        <v>#REF!</v>
      </c>
      <c r="L225" s="1" t="e">
        <f>IF(#REF!="F-SMRA","A",IF(#REF!="F-SMRB","B",IF(#REF!="F-SMRC","C","D")))</f>
        <v>#REF!</v>
      </c>
    </row>
    <row r="226" spans="1:12" x14ac:dyDescent="0.2">
      <c r="A226" s="257" t="e">
        <f t="shared" si="47"/>
        <v>#REF!</v>
      </c>
      <c r="B226" s="4" t="e">
        <f t="shared" si="53"/>
        <v>#REF!</v>
      </c>
      <c r="C226" s="70" t="e">
        <f t="shared" si="48"/>
        <v>#REF!</v>
      </c>
      <c r="D226" s="4" t="e">
        <f t="shared" si="54"/>
        <v>#REF!</v>
      </c>
      <c r="E226" s="70" t="e">
        <f t="shared" si="49"/>
        <v>#REF!</v>
      </c>
      <c r="F226" s="4" t="e">
        <f t="shared" si="55"/>
        <v>#REF!</v>
      </c>
      <c r="G226" s="70" t="e">
        <f t="shared" si="50"/>
        <v>#REF!</v>
      </c>
      <c r="H226" s="4" t="e">
        <f t="shared" si="56"/>
        <v>#REF!</v>
      </c>
      <c r="I226" s="70" t="e">
        <f t="shared" si="51"/>
        <v>#REF!</v>
      </c>
      <c r="J226" s="4" t="e">
        <f t="shared" si="57"/>
        <v>#REF!</v>
      </c>
      <c r="K226" s="70" t="e">
        <f t="shared" si="52"/>
        <v>#REF!</v>
      </c>
      <c r="L226" s="1" t="e">
        <f>IF(#REF!="F-SMRA","A",IF(#REF!="F-SMRB","B",IF(#REF!="F-SMRC","C","D")))</f>
        <v>#REF!</v>
      </c>
    </row>
    <row r="227" spans="1:12" x14ac:dyDescent="0.2">
      <c r="A227" s="257" t="e">
        <f t="shared" si="47"/>
        <v>#REF!</v>
      </c>
      <c r="B227" s="4" t="e">
        <f t="shared" si="53"/>
        <v>#REF!</v>
      </c>
      <c r="C227" s="70" t="e">
        <f t="shared" si="48"/>
        <v>#REF!</v>
      </c>
      <c r="D227" s="4" t="e">
        <f t="shared" si="54"/>
        <v>#REF!</v>
      </c>
      <c r="E227" s="70" t="e">
        <f t="shared" si="49"/>
        <v>#REF!</v>
      </c>
      <c r="F227" s="4" t="e">
        <f t="shared" si="55"/>
        <v>#REF!</v>
      </c>
      <c r="G227" s="70" t="e">
        <f t="shared" si="50"/>
        <v>#REF!</v>
      </c>
      <c r="H227" s="4" t="e">
        <f t="shared" si="56"/>
        <v>#REF!</v>
      </c>
      <c r="I227" s="70" t="e">
        <f t="shared" si="51"/>
        <v>#REF!</v>
      </c>
      <c r="J227" s="4" t="e">
        <f t="shared" si="57"/>
        <v>#REF!</v>
      </c>
      <c r="K227" s="70" t="e">
        <f t="shared" si="52"/>
        <v>#REF!</v>
      </c>
      <c r="L227" s="1" t="e">
        <f>IF(#REF!="F-SMRA","A",IF(#REF!="F-SMRB","B",IF(#REF!="F-SMRC","C","D")))</f>
        <v>#REF!</v>
      </c>
    </row>
    <row r="228" spans="1:12" x14ac:dyDescent="0.2">
      <c r="A228" s="257" t="e">
        <f t="shared" si="47"/>
        <v>#REF!</v>
      </c>
      <c r="B228" s="4" t="e">
        <f t="shared" si="53"/>
        <v>#REF!</v>
      </c>
      <c r="C228" s="70" t="e">
        <f t="shared" si="48"/>
        <v>#REF!</v>
      </c>
      <c r="D228" s="4" t="e">
        <f t="shared" si="54"/>
        <v>#REF!</v>
      </c>
      <c r="E228" s="70" t="e">
        <f t="shared" si="49"/>
        <v>#REF!</v>
      </c>
      <c r="F228" s="4" t="e">
        <f t="shared" si="55"/>
        <v>#REF!</v>
      </c>
      <c r="G228" s="70" t="e">
        <f t="shared" si="50"/>
        <v>#REF!</v>
      </c>
      <c r="H228" s="4" t="e">
        <f t="shared" si="56"/>
        <v>#REF!</v>
      </c>
      <c r="I228" s="70" t="e">
        <f t="shared" si="51"/>
        <v>#REF!</v>
      </c>
      <c r="J228" s="4" t="e">
        <f t="shared" si="57"/>
        <v>#REF!</v>
      </c>
      <c r="K228" s="70" t="e">
        <f t="shared" si="52"/>
        <v>#REF!</v>
      </c>
      <c r="L228" s="1" t="e">
        <f>IF(#REF!="F-SMRA","A",IF(#REF!="F-SMRB","B",IF(#REF!="F-SMRC","C","D")))</f>
        <v>#REF!</v>
      </c>
    </row>
    <row r="229" spans="1:12" x14ac:dyDescent="0.2">
      <c r="A229" s="257" t="e">
        <f t="shared" si="47"/>
        <v>#REF!</v>
      </c>
      <c r="B229" s="4" t="e">
        <f t="shared" si="53"/>
        <v>#REF!</v>
      </c>
      <c r="C229" s="70" t="e">
        <f t="shared" si="48"/>
        <v>#REF!</v>
      </c>
      <c r="D229" s="4" t="e">
        <f t="shared" si="54"/>
        <v>#REF!</v>
      </c>
      <c r="E229" s="70" t="e">
        <f t="shared" si="49"/>
        <v>#REF!</v>
      </c>
      <c r="F229" s="4" t="e">
        <f t="shared" si="55"/>
        <v>#REF!</v>
      </c>
      <c r="G229" s="70" t="e">
        <f t="shared" si="50"/>
        <v>#REF!</v>
      </c>
      <c r="H229" s="4" t="e">
        <f t="shared" si="56"/>
        <v>#REF!</v>
      </c>
      <c r="I229" s="70" t="e">
        <f t="shared" si="51"/>
        <v>#REF!</v>
      </c>
      <c r="J229" s="4" t="e">
        <f t="shared" si="57"/>
        <v>#REF!</v>
      </c>
      <c r="K229" s="70" t="e">
        <f t="shared" si="52"/>
        <v>#REF!</v>
      </c>
      <c r="L229" s="1" t="e">
        <f>IF(#REF!="F-SMRA","A",IF(#REF!="F-SMRB","B",IF(#REF!="F-SMRC","C","D")))</f>
        <v>#REF!</v>
      </c>
    </row>
    <row r="230" spans="1:12" x14ac:dyDescent="0.2">
      <c r="A230" s="257" t="e">
        <f t="shared" si="47"/>
        <v>#REF!</v>
      </c>
      <c r="B230" s="4" t="e">
        <f t="shared" si="53"/>
        <v>#REF!</v>
      </c>
      <c r="C230" s="70" t="e">
        <f t="shared" si="48"/>
        <v>#REF!</v>
      </c>
      <c r="D230" s="4" t="e">
        <f t="shared" si="54"/>
        <v>#REF!</v>
      </c>
      <c r="E230" s="70" t="e">
        <f t="shared" si="49"/>
        <v>#REF!</v>
      </c>
      <c r="F230" s="4" t="e">
        <f t="shared" si="55"/>
        <v>#REF!</v>
      </c>
      <c r="G230" s="70" t="e">
        <f t="shared" si="50"/>
        <v>#REF!</v>
      </c>
      <c r="H230" s="4" t="e">
        <f t="shared" si="56"/>
        <v>#REF!</v>
      </c>
      <c r="I230" s="70" t="e">
        <f t="shared" si="51"/>
        <v>#REF!</v>
      </c>
      <c r="J230" s="4" t="e">
        <f t="shared" si="57"/>
        <v>#REF!</v>
      </c>
      <c r="K230" s="70" t="e">
        <f t="shared" si="52"/>
        <v>#REF!</v>
      </c>
      <c r="L230" s="1" t="e">
        <f>IF(#REF!="F-SMRA","A",IF(#REF!="F-SMRB","B",IF(#REF!="F-SMRC","C","D")))</f>
        <v>#REF!</v>
      </c>
    </row>
    <row r="231" spans="1:12" x14ac:dyDescent="0.2">
      <c r="A231" s="257" t="e">
        <f t="shared" si="47"/>
        <v>#REF!</v>
      </c>
      <c r="B231" s="4" t="e">
        <f t="shared" si="53"/>
        <v>#REF!</v>
      </c>
      <c r="C231" s="70" t="e">
        <f t="shared" si="48"/>
        <v>#REF!</v>
      </c>
      <c r="D231" s="4" t="e">
        <f t="shared" si="54"/>
        <v>#REF!</v>
      </c>
      <c r="E231" s="70" t="e">
        <f t="shared" si="49"/>
        <v>#REF!</v>
      </c>
      <c r="F231" s="4" t="e">
        <f t="shared" si="55"/>
        <v>#REF!</v>
      </c>
      <c r="G231" s="70" t="e">
        <f t="shared" si="50"/>
        <v>#REF!</v>
      </c>
      <c r="H231" s="4" t="e">
        <f t="shared" si="56"/>
        <v>#REF!</v>
      </c>
      <c r="I231" s="70" t="e">
        <f t="shared" si="51"/>
        <v>#REF!</v>
      </c>
      <c r="J231" s="4" t="e">
        <f t="shared" si="57"/>
        <v>#REF!</v>
      </c>
      <c r="K231" s="70" t="e">
        <f t="shared" si="52"/>
        <v>#REF!</v>
      </c>
      <c r="L231" s="1" t="e">
        <f>IF(#REF!="F-SMRA","A",IF(#REF!="F-SMRB","B",IF(#REF!="F-SMRC","C","D")))</f>
        <v>#REF!</v>
      </c>
    </row>
    <row r="232" spans="1:12" x14ac:dyDescent="0.2">
      <c r="A232" s="257" t="e">
        <f t="shared" si="47"/>
        <v>#REF!</v>
      </c>
      <c r="B232" s="4" t="e">
        <f t="shared" si="53"/>
        <v>#REF!</v>
      </c>
      <c r="C232" s="70" t="e">
        <f t="shared" si="48"/>
        <v>#REF!</v>
      </c>
      <c r="D232" s="4" t="e">
        <f t="shared" si="54"/>
        <v>#REF!</v>
      </c>
      <c r="E232" s="70" t="e">
        <f t="shared" si="49"/>
        <v>#REF!</v>
      </c>
      <c r="F232" s="4" t="e">
        <f t="shared" si="55"/>
        <v>#REF!</v>
      </c>
      <c r="G232" s="70" t="e">
        <f t="shared" si="50"/>
        <v>#REF!</v>
      </c>
      <c r="H232" s="4" t="e">
        <f t="shared" si="56"/>
        <v>#REF!</v>
      </c>
      <c r="I232" s="70" t="e">
        <f t="shared" si="51"/>
        <v>#REF!</v>
      </c>
      <c r="J232" s="4" t="e">
        <f t="shared" si="57"/>
        <v>#REF!</v>
      </c>
      <c r="K232" s="70" t="e">
        <f t="shared" si="52"/>
        <v>#REF!</v>
      </c>
      <c r="L232" s="1" t="e">
        <f>IF(#REF!="F-SMRA","A",IF(#REF!="F-SMRB","B",IF(#REF!="F-SMRC","C","D")))</f>
        <v>#REF!</v>
      </c>
    </row>
    <row r="233" spans="1:12" x14ac:dyDescent="0.2">
      <c r="A233" s="257" t="e">
        <f t="shared" si="47"/>
        <v>#REF!</v>
      </c>
      <c r="B233" s="4" t="e">
        <f t="shared" si="53"/>
        <v>#REF!</v>
      </c>
      <c r="C233" s="70" t="e">
        <f t="shared" si="48"/>
        <v>#REF!</v>
      </c>
      <c r="D233" s="4" t="e">
        <f t="shared" si="54"/>
        <v>#REF!</v>
      </c>
      <c r="E233" s="70" t="e">
        <f t="shared" si="49"/>
        <v>#REF!</v>
      </c>
      <c r="F233" s="4" t="e">
        <f t="shared" si="55"/>
        <v>#REF!</v>
      </c>
      <c r="G233" s="70" t="e">
        <f t="shared" si="50"/>
        <v>#REF!</v>
      </c>
      <c r="H233" s="4" t="e">
        <f t="shared" si="56"/>
        <v>#REF!</v>
      </c>
      <c r="I233" s="70" t="e">
        <f t="shared" si="51"/>
        <v>#REF!</v>
      </c>
      <c r="J233" s="4" t="e">
        <f t="shared" si="57"/>
        <v>#REF!</v>
      </c>
      <c r="K233" s="70" t="e">
        <f t="shared" si="52"/>
        <v>#REF!</v>
      </c>
      <c r="L233" s="1" t="e">
        <f>IF(#REF!="F-SMRA","A",IF(#REF!="F-SMRB","B",IF(#REF!="F-SMRC","C","D")))</f>
        <v>#REF!</v>
      </c>
    </row>
    <row r="234" spans="1:12" x14ac:dyDescent="0.2">
      <c r="A234" s="257" t="e">
        <f t="shared" si="47"/>
        <v>#REF!</v>
      </c>
      <c r="B234" s="4" t="e">
        <f t="shared" si="53"/>
        <v>#REF!</v>
      </c>
      <c r="C234" s="70" t="e">
        <f t="shared" si="48"/>
        <v>#REF!</v>
      </c>
      <c r="D234" s="4" t="e">
        <f t="shared" si="54"/>
        <v>#REF!</v>
      </c>
      <c r="E234" s="70" t="e">
        <f t="shared" si="49"/>
        <v>#REF!</v>
      </c>
      <c r="F234" s="4" t="e">
        <f t="shared" si="55"/>
        <v>#REF!</v>
      </c>
      <c r="G234" s="70" t="e">
        <f t="shared" si="50"/>
        <v>#REF!</v>
      </c>
      <c r="H234" s="4" t="e">
        <f t="shared" si="56"/>
        <v>#REF!</v>
      </c>
      <c r="I234" s="70" t="e">
        <f t="shared" si="51"/>
        <v>#REF!</v>
      </c>
      <c r="J234" s="4" t="e">
        <f t="shared" si="57"/>
        <v>#REF!</v>
      </c>
      <c r="K234" s="70" t="e">
        <f t="shared" si="52"/>
        <v>#REF!</v>
      </c>
      <c r="L234" s="1" t="e">
        <f>IF(#REF!="F-SMRA","A",IF(#REF!="F-SMRB","B",IF(#REF!="F-SMRC","C","D")))</f>
        <v>#REF!</v>
      </c>
    </row>
    <row r="235" spans="1:12" x14ac:dyDescent="0.2">
      <c r="A235" s="257" t="e">
        <f t="shared" si="47"/>
        <v>#REF!</v>
      </c>
      <c r="B235" s="4" t="e">
        <f t="shared" si="53"/>
        <v>#REF!</v>
      </c>
      <c r="C235" s="70" t="e">
        <f t="shared" si="48"/>
        <v>#REF!</v>
      </c>
      <c r="D235" s="4" t="e">
        <f t="shared" si="54"/>
        <v>#REF!</v>
      </c>
      <c r="E235" s="70" t="e">
        <f t="shared" si="49"/>
        <v>#REF!</v>
      </c>
      <c r="F235" s="4" t="e">
        <f t="shared" si="55"/>
        <v>#REF!</v>
      </c>
      <c r="G235" s="70" t="e">
        <f t="shared" si="50"/>
        <v>#REF!</v>
      </c>
      <c r="H235" s="4" t="e">
        <f t="shared" si="56"/>
        <v>#REF!</v>
      </c>
      <c r="I235" s="70" t="e">
        <f t="shared" si="51"/>
        <v>#REF!</v>
      </c>
      <c r="J235" s="4" t="e">
        <f t="shared" si="57"/>
        <v>#REF!</v>
      </c>
      <c r="K235" s="70" t="e">
        <f t="shared" si="52"/>
        <v>#REF!</v>
      </c>
      <c r="L235" s="1" t="e">
        <f>IF(#REF!="F-SMRA","A",IF(#REF!="F-SMRB","B",IF(#REF!="F-SMRC","C","D")))</f>
        <v>#REF!</v>
      </c>
    </row>
    <row r="236" spans="1:12" x14ac:dyDescent="0.2">
      <c r="A236" s="257" t="e">
        <f t="shared" si="47"/>
        <v>#REF!</v>
      </c>
      <c r="B236" s="4" t="e">
        <f t="shared" si="53"/>
        <v>#REF!</v>
      </c>
      <c r="C236" s="70" t="e">
        <f t="shared" si="48"/>
        <v>#REF!</v>
      </c>
      <c r="D236" s="4" t="e">
        <f t="shared" si="54"/>
        <v>#REF!</v>
      </c>
      <c r="E236" s="70" t="e">
        <f t="shared" si="49"/>
        <v>#REF!</v>
      </c>
      <c r="F236" s="4" t="e">
        <f t="shared" si="55"/>
        <v>#REF!</v>
      </c>
      <c r="G236" s="70" t="e">
        <f t="shared" si="50"/>
        <v>#REF!</v>
      </c>
      <c r="H236" s="4" t="e">
        <f t="shared" si="56"/>
        <v>#REF!</v>
      </c>
      <c r="I236" s="70" t="e">
        <f t="shared" si="51"/>
        <v>#REF!</v>
      </c>
      <c r="J236" s="4" t="e">
        <f t="shared" si="57"/>
        <v>#REF!</v>
      </c>
      <c r="K236" s="70" t="e">
        <f t="shared" si="52"/>
        <v>#REF!</v>
      </c>
      <c r="L236" s="1" t="e">
        <f>IF(#REF!="F-SMRA","A",IF(#REF!="F-SMRB","B",IF(#REF!="F-SMRC","C","D")))</f>
        <v>#REF!</v>
      </c>
    </row>
    <row r="237" spans="1:12" x14ac:dyDescent="0.2">
      <c r="A237" s="257" t="e">
        <f t="shared" si="47"/>
        <v>#REF!</v>
      </c>
      <c r="B237" s="4" t="e">
        <f t="shared" si="53"/>
        <v>#REF!</v>
      </c>
      <c r="C237" s="70" t="e">
        <f t="shared" si="48"/>
        <v>#REF!</v>
      </c>
      <c r="D237" s="4" t="e">
        <f t="shared" si="54"/>
        <v>#REF!</v>
      </c>
      <c r="E237" s="70" t="e">
        <f t="shared" si="49"/>
        <v>#REF!</v>
      </c>
      <c r="F237" s="4" t="e">
        <f t="shared" si="55"/>
        <v>#REF!</v>
      </c>
      <c r="G237" s="70" t="e">
        <f t="shared" si="50"/>
        <v>#REF!</v>
      </c>
      <c r="H237" s="4" t="e">
        <f t="shared" si="56"/>
        <v>#REF!</v>
      </c>
      <c r="I237" s="70" t="e">
        <f t="shared" si="51"/>
        <v>#REF!</v>
      </c>
      <c r="J237" s="4" t="e">
        <f t="shared" si="57"/>
        <v>#REF!</v>
      </c>
      <c r="K237" s="70" t="e">
        <f t="shared" si="52"/>
        <v>#REF!</v>
      </c>
      <c r="L237" s="1" t="e">
        <f>IF(#REF!="F-SMRA","A",IF(#REF!="F-SMRB","B",IF(#REF!="F-SMRC","C","D")))</f>
        <v>#REF!</v>
      </c>
    </row>
    <row r="238" spans="1:12" x14ac:dyDescent="0.2">
      <c r="A238" s="257" t="e">
        <f t="shared" si="47"/>
        <v>#REF!</v>
      </c>
      <c r="B238" s="4" t="e">
        <f t="shared" si="53"/>
        <v>#REF!</v>
      </c>
      <c r="C238" s="70" t="e">
        <f t="shared" si="48"/>
        <v>#REF!</v>
      </c>
      <c r="D238" s="4" t="e">
        <f t="shared" si="54"/>
        <v>#REF!</v>
      </c>
      <c r="E238" s="70" t="e">
        <f t="shared" si="49"/>
        <v>#REF!</v>
      </c>
      <c r="F238" s="4" t="e">
        <f t="shared" si="55"/>
        <v>#REF!</v>
      </c>
      <c r="G238" s="70" t="e">
        <f t="shared" si="50"/>
        <v>#REF!</v>
      </c>
      <c r="H238" s="4" t="e">
        <f t="shared" si="56"/>
        <v>#REF!</v>
      </c>
      <c r="I238" s="70" t="e">
        <f t="shared" si="51"/>
        <v>#REF!</v>
      </c>
      <c r="J238" s="4" t="e">
        <f t="shared" si="57"/>
        <v>#REF!</v>
      </c>
      <c r="K238" s="70" t="e">
        <f t="shared" si="52"/>
        <v>#REF!</v>
      </c>
      <c r="L238" s="1" t="e">
        <f>IF(#REF!="F-SMRA","A",IF(#REF!="F-SMRB","B",IF(#REF!="F-SMRC","C","D")))</f>
        <v>#REF!</v>
      </c>
    </row>
    <row r="239" spans="1:12" x14ac:dyDescent="0.2">
      <c r="A239" s="257" t="e">
        <f t="shared" si="47"/>
        <v>#REF!</v>
      </c>
      <c r="B239" s="4" t="e">
        <f t="shared" si="53"/>
        <v>#REF!</v>
      </c>
      <c r="C239" s="70" t="e">
        <f t="shared" si="48"/>
        <v>#REF!</v>
      </c>
      <c r="D239" s="4" t="e">
        <f t="shared" si="54"/>
        <v>#REF!</v>
      </c>
      <c r="E239" s="70" t="e">
        <f t="shared" si="49"/>
        <v>#REF!</v>
      </c>
      <c r="F239" s="4" t="e">
        <f t="shared" si="55"/>
        <v>#REF!</v>
      </c>
      <c r="G239" s="70" t="e">
        <f t="shared" si="50"/>
        <v>#REF!</v>
      </c>
      <c r="H239" s="4" t="e">
        <f t="shared" si="56"/>
        <v>#REF!</v>
      </c>
      <c r="I239" s="70" t="e">
        <f t="shared" si="51"/>
        <v>#REF!</v>
      </c>
      <c r="J239" s="4" t="e">
        <f t="shared" si="57"/>
        <v>#REF!</v>
      </c>
      <c r="K239" s="70" t="e">
        <f t="shared" si="52"/>
        <v>#REF!</v>
      </c>
      <c r="L239" s="1" t="e">
        <f>IF(#REF!="F-SMRA","A",IF(#REF!="F-SMRB","B",IF(#REF!="F-SMRC","C","D")))</f>
        <v>#REF!</v>
      </c>
    </row>
    <row r="240" spans="1:12" x14ac:dyDescent="0.2">
      <c r="A240" s="257" t="e">
        <f t="shared" si="47"/>
        <v>#REF!</v>
      </c>
      <c r="B240" s="4" t="e">
        <f t="shared" si="53"/>
        <v>#REF!</v>
      </c>
      <c r="C240" s="70" t="e">
        <f t="shared" si="48"/>
        <v>#REF!</v>
      </c>
      <c r="D240" s="4" t="e">
        <f t="shared" si="54"/>
        <v>#REF!</v>
      </c>
      <c r="E240" s="70" t="e">
        <f t="shared" si="49"/>
        <v>#REF!</v>
      </c>
      <c r="F240" s="4" t="e">
        <f t="shared" si="55"/>
        <v>#REF!</v>
      </c>
      <c r="G240" s="70" t="e">
        <f t="shared" si="50"/>
        <v>#REF!</v>
      </c>
      <c r="H240" s="4" t="e">
        <f t="shared" si="56"/>
        <v>#REF!</v>
      </c>
      <c r="I240" s="70" t="e">
        <f t="shared" si="51"/>
        <v>#REF!</v>
      </c>
      <c r="J240" s="4" t="e">
        <f t="shared" si="57"/>
        <v>#REF!</v>
      </c>
      <c r="K240" s="70" t="e">
        <f t="shared" si="52"/>
        <v>#REF!</v>
      </c>
      <c r="L240" s="1" t="e">
        <f>IF(#REF!="F-SMRA","A",IF(#REF!="F-SMRB","B",IF(#REF!="F-SMRC","C","D")))</f>
        <v>#REF!</v>
      </c>
    </row>
    <row r="241" spans="1:12" x14ac:dyDescent="0.2">
      <c r="A241" s="77" t="e">
        <f t="shared" si="47"/>
        <v>#REF!</v>
      </c>
      <c r="B241" s="4" t="e">
        <f t="shared" si="53"/>
        <v>#REF!</v>
      </c>
      <c r="C241" s="70" t="e">
        <f t="shared" si="48"/>
        <v>#REF!</v>
      </c>
      <c r="D241" s="4" t="e">
        <f t="shared" si="54"/>
        <v>#REF!</v>
      </c>
      <c r="E241" s="70" t="e">
        <f t="shared" si="49"/>
        <v>#REF!</v>
      </c>
      <c r="F241" s="4" t="e">
        <f t="shared" si="55"/>
        <v>#REF!</v>
      </c>
      <c r="G241" s="70" t="e">
        <f t="shared" si="50"/>
        <v>#REF!</v>
      </c>
      <c r="H241" s="4" t="e">
        <f t="shared" si="56"/>
        <v>#REF!</v>
      </c>
      <c r="I241" s="70" t="e">
        <f t="shared" si="51"/>
        <v>#REF!</v>
      </c>
      <c r="J241" s="4" t="e">
        <f t="shared" si="57"/>
        <v>#REF!</v>
      </c>
      <c r="K241" s="70" t="e">
        <f t="shared" si="52"/>
        <v>#REF!</v>
      </c>
      <c r="L241" s="1" t="e">
        <f>IF(#REF!="F-SMRA","A",IF(#REF!="F-SMRB","B",IF(#REF!="F-SMRC","C","D")))</f>
        <v>#REF!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 t="e">
        <f t="shared" ref="B247:K247" si="58">B56</f>
        <v>#REF!</v>
      </c>
      <c r="C247" s="83" t="e">
        <f t="shared" si="58"/>
        <v>#REF!</v>
      </c>
      <c r="D247" s="83" t="e">
        <f t="shared" si="58"/>
        <v>#REF!</v>
      </c>
      <c r="E247" s="83" t="e">
        <f t="shared" si="58"/>
        <v>#REF!</v>
      </c>
      <c r="F247" s="83" t="e">
        <f t="shared" si="58"/>
        <v>#REF!</v>
      </c>
      <c r="G247" s="83" t="e">
        <f t="shared" si="58"/>
        <v>#REF!</v>
      </c>
      <c r="H247" s="83" t="e">
        <f t="shared" si="58"/>
        <v>#REF!</v>
      </c>
      <c r="I247" s="83" t="e">
        <f t="shared" si="58"/>
        <v>#REF!</v>
      </c>
      <c r="J247" s="83" t="e">
        <f t="shared" si="58"/>
        <v>#REF!</v>
      </c>
      <c r="K247" s="83" t="e">
        <f t="shared" si="58"/>
        <v>#REF!</v>
      </c>
    </row>
    <row r="248" spans="1:12" x14ac:dyDescent="0.2">
      <c r="A248" s="75" t="e">
        <f>A218</f>
        <v>#REF!</v>
      </c>
      <c r="B248" s="4" t="e">
        <f>B218</f>
        <v>#REF!</v>
      </c>
      <c r="C248" s="4" t="e">
        <f t="shared" ref="C248:K248" si="59">C218</f>
        <v>#REF!</v>
      </c>
      <c r="D248" s="4" t="e">
        <f t="shared" si="59"/>
        <v>#REF!</v>
      </c>
      <c r="E248" s="4" t="e">
        <f t="shared" si="59"/>
        <v>#REF!</v>
      </c>
      <c r="F248" s="4" t="e">
        <f t="shared" si="59"/>
        <v>#REF!</v>
      </c>
      <c r="G248" s="4" t="e">
        <f t="shared" si="59"/>
        <v>#REF!</v>
      </c>
      <c r="H248" s="4" t="e">
        <f t="shared" si="59"/>
        <v>#REF!</v>
      </c>
      <c r="I248" s="4" t="e">
        <f t="shared" si="59"/>
        <v>#REF!</v>
      </c>
      <c r="J248" s="4" t="e">
        <f t="shared" si="59"/>
        <v>#REF!</v>
      </c>
      <c r="K248" s="4" t="e">
        <f t="shared" si="59"/>
        <v>#REF!</v>
      </c>
    </row>
    <row r="249" spans="1:12" x14ac:dyDescent="0.2">
      <c r="A249" s="75" t="e">
        <f t="shared" ref="A249:K264" si="60">A219</f>
        <v>#REF!</v>
      </c>
      <c r="B249" s="4" t="e">
        <f t="shared" si="60"/>
        <v>#REF!</v>
      </c>
      <c r="C249" s="4" t="e">
        <f t="shared" si="60"/>
        <v>#REF!</v>
      </c>
      <c r="D249" s="4" t="e">
        <f t="shared" si="60"/>
        <v>#REF!</v>
      </c>
      <c r="E249" s="4" t="e">
        <f t="shared" si="60"/>
        <v>#REF!</v>
      </c>
      <c r="F249" s="4" t="e">
        <f t="shared" si="60"/>
        <v>#REF!</v>
      </c>
      <c r="G249" s="4" t="e">
        <f t="shared" si="60"/>
        <v>#REF!</v>
      </c>
      <c r="H249" s="4" t="e">
        <f t="shared" si="60"/>
        <v>#REF!</v>
      </c>
      <c r="I249" s="4" t="e">
        <f t="shared" si="60"/>
        <v>#REF!</v>
      </c>
      <c r="J249" s="4" t="e">
        <f t="shared" si="60"/>
        <v>#REF!</v>
      </c>
      <c r="K249" s="4" t="e">
        <f t="shared" si="60"/>
        <v>#REF!</v>
      </c>
    </row>
    <row r="250" spans="1:12" x14ac:dyDescent="0.2">
      <c r="A250" s="75" t="e">
        <f t="shared" si="60"/>
        <v>#REF!</v>
      </c>
      <c r="B250" s="4" t="e">
        <f t="shared" si="60"/>
        <v>#REF!</v>
      </c>
      <c r="C250" s="4" t="e">
        <f t="shared" si="60"/>
        <v>#REF!</v>
      </c>
      <c r="D250" s="4" t="e">
        <f t="shared" si="60"/>
        <v>#REF!</v>
      </c>
      <c r="E250" s="4" t="e">
        <f t="shared" si="60"/>
        <v>#REF!</v>
      </c>
      <c r="F250" s="4" t="e">
        <f t="shared" si="60"/>
        <v>#REF!</v>
      </c>
      <c r="G250" s="4" t="e">
        <f t="shared" si="60"/>
        <v>#REF!</v>
      </c>
      <c r="H250" s="4" t="e">
        <f t="shared" si="60"/>
        <v>#REF!</v>
      </c>
      <c r="I250" s="4" t="e">
        <f t="shared" si="60"/>
        <v>#REF!</v>
      </c>
      <c r="J250" s="4" t="e">
        <f t="shared" si="60"/>
        <v>#REF!</v>
      </c>
      <c r="K250" s="4" t="e">
        <f t="shared" si="60"/>
        <v>#REF!</v>
      </c>
    </row>
    <row r="251" spans="1:12" x14ac:dyDescent="0.2">
      <c r="A251" s="75" t="e">
        <f t="shared" si="60"/>
        <v>#REF!</v>
      </c>
      <c r="B251" s="4" t="e">
        <f t="shared" si="60"/>
        <v>#REF!</v>
      </c>
      <c r="C251" s="4" t="e">
        <f t="shared" si="60"/>
        <v>#REF!</v>
      </c>
      <c r="D251" s="4" t="e">
        <f t="shared" si="60"/>
        <v>#REF!</v>
      </c>
      <c r="E251" s="4" t="e">
        <f t="shared" si="60"/>
        <v>#REF!</v>
      </c>
      <c r="F251" s="4" t="e">
        <f t="shared" si="60"/>
        <v>#REF!</v>
      </c>
      <c r="G251" s="4" t="e">
        <f t="shared" si="60"/>
        <v>#REF!</v>
      </c>
      <c r="H251" s="4" t="e">
        <f t="shared" si="60"/>
        <v>#REF!</v>
      </c>
      <c r="I251" s="4" t="e">
        <f t="shared" si="60"/>
        <v>#REF!</v>
      </c>
      <c r="J251" s="4" t="e">
        <f t="shared" si="60"/>
        <v>#REF!</v>
      </c>
      <c r="K251" s="4" t="e">
        <f t="shared" si="60"/>
        <v>#REF!</v>
      </c>
    </row>
    <row r="252" spans="1:12" x14ac:dyDescent="0.2">
      <c r="A252" s="75" t="e">
        <f t="shared" si="60"/>
        <v>#REF!</v>
      </c>
      <c r="B252" s="4" t="e">
        <f t="shared" si="60"/>
        <v>#REF!</v>
      </c>
      <c r="C252" s="4" t="e">
        <f t="shared" si="60"/>
        <v>#REF!</v>
      </c>
      <c r="D252" s="4" t="e">
        <f t="shared" si="60"/>
        <v>#REF!</v>
      </c>
      <c r="E252" s="4" t="e">
        <f t="shared" si="60"/>
        <v>#REF!</v>
      </c>
      <c r="F252" s="4" t="e">
        <f t="shared" si="60"/>
        <v>#REF!</v>
      </c>
      <c r="G252" s="4" t="e">
        <f t="shared" si="60"/>
        <v>#REF!</v>
      </c>
      <c r="H252" s="4" t="e">
        <f t="shared" si="60"/>
        <v>#REF!</v>
      </c>
      <c r="I252" s="4" t="e">
        <f t="shared" si="60"/>
        <v>#REF!</v>
      </c>
      <c r="J252" s="4" t="e">
        <f t="shared" si="60"/>
        <v>#REF!</v>
      </c>
      <c r="K252" s="4" t="e">
        <f t="shared" si="60"/>
        <v>#REF!</v>
      </c>
    </row>
    <row r="253" spans="1:12" x14ac:dyDescent="0.2">
      <c r="A253" s="75" t="e">
        <f t="shared" si="60"/>
        <v>#REF!</v>
      </c>
      <c r="B253" s="4" t="e">
        <f t="shared" si="60"/>
        <v>#REF!</v>
      </c>
      <c r="C253" s="4" t="e">
        <f t="shared" si="60"/>
        <v>#REF!</v>
      </c>
      <c r="D253" s="4" t="e">
        <f t="shared" si="60"/>
        <v>#REF!</v>
      </c>
      <c r="E253" s="4" t="e">
        <f t="shared" si="60"/>
        <v>#REF!</v>
      </c>
      <c r="F253" s="4" t="e">
        <f t="shared" si="60"/>
        <v>#REF!</v>
      </c>
      <c r="G253" s="4" t="e">
        <f t="shared" si="60"/>
        <v>#REF!</v>
      </c>
      <c r="H253" s="4" t="e">
        <f t="shared" si="60"/>
        <v>#REF!</v>
      </c>
      <c r="I253" s="4" t="e">
        <f t="shared" si="60"/>
        <v>#REF!</v>
      </c>
      <c r="J253" s="4" t="e">
        <f t="shared" si="60"/>
        <v>#REF!</v>
      </c>
      <c r="K253" s="4" t="e">
        <f t="shared" si="60"/>
        <v>#REF!</v>
      </c>
    </row>
    <row r="254" spans="1:12" x14ac:dyDescent="0.2">
      <c r="A254" s="75" t="e">
        <f t="shared" si="60"/>
        <v>#REF!</v>
      </c>
      <c r="B254" s="4" t="e">
        <f t="shared" si="60"/>
        <v>#REF!</v>
      </c>
      <c r="C254" s="4" t="e">
        <f t="shared" si="60"/>
        <v>#REF!</v>
      </c>
      <c r="D254" s="4" t="e">
        <f t="shared" si="60"/>
        <v>#REF!</v>
      </c>
      <c r="E254" s="4" t="e">
        <f t="shared" si="60"/>
        <v>#REF!</v>
      </c>
      <c r="F254" s="4" t="e">
        <f t="shared" si="60"/>
        <v>#REF!</v>
      </c>
      <c r="G254" s="4" t="e">
        <f t="shared" si="60"/>
        <v>#REF!</v>
      </c>
      <c r="H254" s="4" t="e">
        <f t="shared" si="60"/>
        <v>#REF!</v>
      </c>
      <c r="I254" s="4" t="e">
        <f t="shared" si="60"/>
        <v>#REF!</v>
      </c>
      <c r="J254" s="4" t="e">
        <f t="shared" si="60"/>
        <v>#REF!</v>
      </c>
      <c r="K254" s="4" t="e">
        <f t="shared" si="60"/>
        <v>#REF!</v>
      </c>
    </row>
    <row r="255" spans="1:12" x14ac:dyDescent="0.2">
      <c r="A255" s="75" t="e">
        <f t="shared" si="60"/>
        <v>#REF!</v>
      </c>
      <c r="B255" s="4" t="e">
        <f t="shared" si="60"/>
        <v>#REF!</v>
      </c>
      <c r="C255" s="4" t="e">
        <f t="shared" si="60"/>
        <v>#REF!</v>
      </c>
      <c r="D255" s="4" t="e">
        <f t="shared" si="60"/>
        <v>#REF!</v>
      </c>
      <c r="E255" s="4" t="e">
        <f t="shared" si="60"/>
        <v>#REF!</v>
      </c>
      <c r="F255" s="4" t="e">
        <f t="shared" si="60"/>
        <v>#REF!</v>
      </c>
      <c r="G255" s="4" t="e">
        <f t="shared" si="60"/>
        <v>#REF!</v>
      </c>
      <c r="H255" s="4" t="e">
        <f t="shared" si="60"/>
        <v>#REF!</v>
      </c>
      <c r="I255" s="4" t="e">
        <f t="shared" si="60"/>
        <v>#REF!</v>
      </c>
      <c r="J255" s="4" t="e">
        <f t="shared" si="60"/>
        <v>#REF!</v>
      </c>
      <c r="K255" s="4" t="e">
        <f t="shared" si="60"/>
        <v>#REF!</v>
      </c>
    </row>
    <row r="256" spans="1:12" x14ac:dyDescent="0.2">
      <c r="A256" s="75" t="e">
        <f t="shared" si="60"/>
        <v>#REF!</v>
      </c>
      <c r="B256" s="4" t="e">
        <f t="shared" si="60"/>
        <v>#REF!</v>
      </c>
      <c r="C256" s="4" t="e">
        <f t="shared" si="60"/>
        <v>#REF!</v>
      </c>
      <c r="D256" s="4" t="e">
        <f t="shared" si="60"/>
        <v>#REF!</v>
      </c>
      <c r="E256" s="4" t="e">
        <f t="shared" si="60"/>
        <v>#REF!</v>
      </c>
      <c r="F256" s="4" t="e">
        <f t="shared" si="60"/>
        <v>#REF!</v>
      </c>
      <c r="G256" s="4" t="e">
        <f t="shared" si="60"/>
        <v>#REF!</v>
      </c>
      <c r="H256" s="4" t="e">
        <f t="shared" si="60"/>
        <v>#REF!</v>
      </c>
      <c r="I256" s="4" t="e">
        <f t="shared" si="60"/>
        <v>#REF!</v>
      </c>
      <c r="J256" s="4" t="e">
        <f t="shared" si="60"/>
        <v>#REF!</v>
      </c>
      <c r="K256" s="4" t="e">
        <f t="shared" si="60"/>
        <v>#REF!</v>
      </c>
    </row>
    <row r="257" spans="1:11" x14ac:dyDescent="0.2">
      <c r="A257" s="75" t="e">
        <f t="shared" si="60"/>
        <v>#REF!</v>
      </c>
      <c r="B257" s="4" t="e">
        <f t="shared" si="60"/>
        <v>#REF!</v>
      </c>
      <c r="C257" s="4" t="e">
        <f t="shared" si="60"/>
        <v>#REF!</v>
      </c>
      <c r="D257" s="4" t="e">
        <f t="shared" si="60"/>
        <v>#REF!</v>
      </c>
      <c r="E257" s="4" t="e">
        <f t="shared" si="60"/>
        <v>#REF!</v>
      </c>
      <c r="F257" s="4" t="e">
        <f t="shared" si="60"/>
        <v>#REF!</v>
      </c>
      <c r="G257" s="4" t="e">
        <f t="shared" si="60"/>
        <v>#REF!</v>
      </c>
      <c r="H257" s="4" t="e">
        <f t="shared" si="60"/>
        <v>#REF!</v>
      </c>
      <c r="I257" s="4" t="e">
        <f t="shared" si="60"/>
        <v>#REF!</v>
      </c>
      <c r="J257" s="4" t="e">
        <f t="shared" si="60"/>
        <v>#REF!</v>
      </c>
      <c r="K257" s="4" t="e">
        <f t="shared" si="60"/>
        <v>#REF!</v>
      </c>
    </row>
    <row r="258" spans="1:11" x14ac:dyDescent="0.2">
      <c r="A258" s="75" t="e">
        <f t="shared" si="60"/>
        <v>#REF!</v>
      </c>
      <c r="B258" s="4" t="e">
        <f t="shared" si="60"/>
        <v>#REF!</v>
      </c>
      <c r="C258" s="4" t="e">
        <f t="shared" si="60"/>
        <v>#REF!</v>
      </c>
      <c r="D258" s="4" t="e">
        <f t="shared" si="60"/>
        <v>#REF!</v>
      </c>
      <c r="E258" s="4" t="e">
        <f t="shared" si="60"/>
        <v>#REF!</v>
      </c>
      <c r="F258" s="4" t="e">
        <f t="shared" si="60"/>
        <v>#REF!</v>
      </c>
      <c r="G258" s="4" t="e">
        <f t="shared" si="60"/>
        <v>#REF!</v>
      </c>
      <c r="H258" s="4" t="e">
        <f t="shared" si="60"/>
        <v>#REF!</v>
      </c>
      <c r="I258" s="4" t="e">
        <f t="shared" si="60"/>
        <v>#REF!</v>
      </c>
      <c r="J258" s="4" t="e">
        <f t="shared" si="60"/>
        <v>#REF!</v>
      </c>
      <c r="K258" s="4" t="e">
        <f t="shared" si="60"/>
        <v>#REF!</v>
      </c>
    </row>
    <row r="259" spans="1:11" x14ac:dyDescent="0.2">
      <c r="A259" s="75" t="e">
        <f t="shared" si="60"/>
        <v>#REF!</v>
      </c>
      <c r="B259" s="4" t="e">
        <f t="shared" si="60"/>
        <v>#REF!</v>
      </c>
      <c r="C259" s="4" t="e">
        <f t="shared" si="60"/>
        <v>#REF!</v>
      </c>
      <c r="D259" s="4" t="e">
        <f t="shared" si="60"/>
        <v>#REF!</v>
      </c>
      <c r="E259" s="4" t="e">
        <f t="shared" si="60"/>
        <v>#REF!</v>
      </c>
      <c r="F259" s="4" t="e">
        <f t="shared" si="60"/>
        <v>#REF!</v>
      </c>
      <c r="G259" s="4" t="e">
        <f t="shared" si="60"/>
        <v>#REF!</v>
      </c>
      <c r="H259" s="4" t="e">
        <f t="shared" si="60"/>
        <v>#REF!</v>
      </c>
      <c r="I259" s="4" t="e">
        <f t="shared" si="60"/>
        <v>#REF!</v>
      </c>
      <c r="J259" s="4" t="e">
        <f t="shared" si="60"/>
        <v>#REF!</v>
      </c>
      <c r="K259" s="4" t="e">
        <f t="shared" si="60"/>
        <v>#REF!</v>
      </c>
    </row>
    <row r="260" spans="1:11" x14ac:dyDescent="0.2">
      <c r="A260" s="75" t="e">
        <f t="shared" si="60"/>
        <v>#REF!</v>
      </c>
      <c r="B260" s="4" t="e">
        <f t="shared" si="60"/>
        <v>#REF!</v>
      </c>
      <c r="C260" s="4" t="e">
        <f t="shared" si="60"/>
        <v>#REF!</v>
      </c>
      <c r="D260" s="4" t="e">
        <f t="shared" si="60"/>
        <v>#REF!</v>
      </c>
      <c r="E260" s="4" t="e">
        <f t="shared" si="60"/>
        <v>#REF!</v>
      </c>
      <c r="F260" s="4" t="e">
        <f t="shared" si="60"/>
        <v>#REF!</v>
      </c>
      <c r="G260" s="4" t="e">
        <f t="shared" si="60"/>
        <v>#REF!</v>
      </c>
      <c r="H260" s="4" t="e">
        <f t="shared" si="60"/>
        <v>#REF!</v>
      </c>
      <c r="I260" s="4" t="e">
        <f t="shared" si="60"/>
        <v>#REF!</v>
      </c>
      <c r="J260" s="4" t="e">
        <f t="shared" si="60"/>
        <v>#REF!</v>
      </c>
      <c r="K260" s="4" t="e">
        <f t="shared" si="60"/>
        <v>#REF!</v>
      </c>
    </row>
    <row r="261" spans="1:11" x14ac:dyDescent="0.2">
      <c r="A261" s="75" t="e">
        <f t="shared" si="60"/>
        <v>#REF!</v>
      </c>
      <c r="B261" s="4" t="e">
        <f t="shared" si="60"/>
        <v>#REF!</v>
      </c>
      <c r="C261" s="4" t="e">
        <f t="shared" si="60"/>
        <v>#REF!</v>
      </c>
      <c r="D261" s="4" t="e">
        <f t="shared" si="60"/>
        <v>#REF!</v>
      </c>
      <c r="E261" s="4" t="e">
        <f t="shared" si="60"/>
        <v>#REF!</v>
      </c>
      <c r="F261" s="4" t="e">
        <f t="shared" si="60"/>
        <v>#REF!</v>
      </c>
      <c r="G261" s="4" t="e">
        <f t="shared" si="60"/>
        <v>#REF!</v>
      </c>
      <c r="H261" s="4" t="e">
        <f t="shared" si="60"/>
        <v>#REF!</v>
      </c>
      <c r="I261" s="4" t="e">
        <f t="shared" si="60"/>
        <v>#REF!</v>
      </c>
      <c r="J261" s="4" t="e">
        <f t="shared" si="60"/>
        <v>#REF!</v>
      </c>
      <c r="K261" s="4" t="e">
        <f t="shared" si="60"/>
        <v>#REF!</v>
      </c>
    </row>
    <row r="262" spans="1:11" x14ac:dyDescent="0.2">
      <c r="A262" s="75" t="e">
        <f t="shared" si="60"/>
        <v>#REF!</v>
      </c>
      <c r="B262" s="4" t="e">
        <f t="shared" si="60"/>
        <v>#REF!</v>
      </c>
      <c r="C262" s="4" t="e">
        <f t="shared" si="60"/>
        <v>#REF!</v>
      </c>
      <c r="D262" s="4" t="e">
        <f t="shared" si="60"/>
        <v>#REF!</v>
      </c>
      <c r="E262" s="4" t="e">
        <f t="shared" si="60"/>
        <v>#REF!</v>
      </c>
      <c r="F262" s="4" t="e">
        <f t="shared" si="60"/>
        <v>#REF!</v>
      </c>
      <c r="G262" s="4" t="e">
        <f t="shared" si="60"/>
        <v>#REF!</v>
      </c>
      <c r="H262" s="4" t="e">
        <f t="shared" si="60"/>
        <v>#REF!</v>
      </c>
      <c r="I262" s="4" t="e">
        <f t="shared" si="60"/>
        <v>#REF!</v>
      </c>
      <c r="J262" s="4" t="e">
        <f t="shared" si="60"/>
        <v>#REF!</v>
      </c>
      <c r="K262" s="4" t="e">
        <f t="shared" si="60"/>
        <v>#REF!</v>
      </c>
    </row>
    <row r="263" spans="1:11" x14ac:dyDescent="0.2">
      <c r="A263" s="75" t="e">
        <f t="shared" si="60"/>
        <v>#REF!</v>
      </c>
      <c r="B263" s="4" t="e">
        <f t="shared" si="60"/>
        <v>#REF!</v>
      </c>
      <c r="C263" s="4" t="e">
        <f t="shared" si="60"/>
        <v>#REF!</v>
      </c>
      <c r="D263" s="4" t="e">
        <f t="shared" si="60"/>
        <v>#REF!</v>
      </c>
      <c r="E263" s="4" t="e">
        <f t="shared" si="60"/>
        <v>#REF!</v>
      </c>
      <c r="F263" s="4" t="e">
        <f t="shared" si="60"/>
        <v>#REF!</v>
      </c>
      <c r="G263" s="4" t="e">
        <f t="shared" si="60"/>
        <v>#REF!</v>
      </c>
      <c r="H263" s="4" t="e">
        <f t="shared" si="60"/>
        <v>#REF!</v>
      </c>
      <c r="I263" s="4" t="e">
        <f t="shared" si="60"/>
        <v>#REF!</v>
      </c>
      <c r="J263" s="4" t="e">
        <f t="shared" si="60"/>
        <v>#REF!</v>
      </c>
      <c r="K263" s="4" t="e">
        <f t="shared" si="60"/>
        <v>#REF!</v>
      </c>
    </row>
    <row r="264" spans="1:11" x14ac:dyDescent="0.2">
      <c r="A264" s="75" t="e">
        <f t="shared" si="60"/>
        <v>#REF!</v>
      </c>
      <c r="B264" s="4" t="e">
        <f t="shared" si="60"/>
        <v>#REF!</v>
      </c>
      <c r="C264" s="4" t="e">
        <f t="shared" si="60"/>
        <v>#REF!</v>
      </c>
      <c r="D264" s="4" t="e">
        <f t="shared" si="60"/>
        <v>#REF!</v>
      </c>
      <c r="E264" s="4" t="e">
        <f t="shared" si="60"/>
        <v>#REF!</v>
      </c>
      <c r="F264" s="4" t="e">
        <f t="shared" si="60"/>
        <v>#REF!</v>
      </c>
      <c r="G264" s="4" t="e">
        <f t="shared" si="60"/>
        <v>#REF!</v>
      </c>
      <c r="H264" s="4" t="e">
        <f t="shared" si="60"/>
        <v>#REF!</v>
      </c>
      <c r="I264" s="4" t="e">
        <f t="shared" si="60"/>
        <v>#REF!</v>
      </c>
      <c r="J264" s="4" t="e">
        <f t="shared" si="60"/>
        <v>#REF!</v>
      </c>
      <c r="K264" s="4" t="e">
        <f t="shared" si="60"/>
        <v>#REF!</v>
      </c>
    </row>
    <row r="265" spans="1:11" x14ac:dyDescent="0.2">
      <c r="A265" s="75" t="e">
        <f t="shared" ref="A265:K271" si="61">A235</f>
        <v>#REF!</v>
      </c>
      <c r="B265" s="4" t="e">
        <f t="shared" si="61"/>
        <v>#REF!</v>
      </c>
      <c r="C265" s="4" t="e">
        <f t="shared" si="61"/>
        <v>#REF!</v>
      </c>
      <c r="D265" s="4" t="e">
        <f t="shared" si="61"/>
        <v>#REF!</v>
      </c>
      <c r="E265" s="4" t="e">
        <f t="shared" si="61"/>
        <v>#REF!</v>
      </c>
      <c r="F265" s="4" t="e">
        <f t="shared" si="61"/>
        <v>#REF!</v>
      </c>
      <c r="G265" s="4" t="e">
        <f t="shared" si="61"/>
        <v>#REF!</v>
      </c>
      <c r="H265" s="4" t="e">
        <f t="shared" si="61"/>
        <v>#REF!</v>
      </c>
      <c r="I265" s="4" t="e">
        <f t="shared" si="61"/>
        <v>#REF!</v>
      </c>
      <c r="J265" s="4" t="e">
        <f t="shared" si="61"/>
        <v>#REF!</v>
      </c>
      <c r="K265" s="4" t="e">
        <f t="shared" si="61"/>
        <v>#REF!</v>
      </c>
    </row>
    <row r="266" spans="1:11" x14ac:dyDescent="0.2">
      <c r="A266" s="75" t="e">
        <f t="shared" si="61"/>
        <v>#REF!</v>
      </c>
      <c r="B266" s="4" t="e">
        <f t="shared" si="61"/>
        <v>#REF!</v>
      </c>
      <c r="C266" s="4" t="e">
        <f t="shared" si="61"/>
        <v>#REF!</v>
      </c>
      <c r="D266" s="4" t="e">
        <f t="shared" si="61"/>
        <v>#REF!</v>
      </c>
      <c r="E266" s="4" t="e">
        <f t="shared" si="61"/>
        <v>#REF!</v>
      </c>
      <c r="F266" s="4" t="e">
        <f t="shared" si="61"/>
        <v>#REF!</v>
      </c>
      <c r="G266" s="4" t="e">
        <f t="shared" si="61"/>
        <v>#REF!</v>
      </c>
      <c r="H266" s="4" t="e">
        <f t="shared" si="61"/>
        <v>#REF!</v>
      </c>
      <c r="I266" s="4" t="e">
        <f t="shared" si="61"/>
        <v>#REF!</v>
      </c>
      <c r="J266" s="4" t="e">
        <f t="shared" si="61"/>
        <v>#REF!</v>
      </c>
      <c r="K266" s="4" t="e">
        <f t="shared" si="61"/>
        <v>#REF!</v>
      </c>
    </row>
    <row r="267" spans="1:11" x14ac:dyDescent="0.2">
      <c r="A267" s="75" t="e">
        <f t="shared" si="61"/>
        <v>#REF!</v>
      </c>
      <c r="B267" s="4" t="e">
        <f t="shared" si="61"/>
        <v>#REF!</v>
      </c>
      <c r="C267" s="4" t="e">
        <f t="shared" si="61"/>
        <v>#REF!</v>
      </c>
      <c r="D267" s="4" t="e">
        <f t="shared" si="61"/>
        <v>#REF!</v>
      </c>
      <c r="E267" s="4" t="e">
        <f t="shared" si="61"/>
        <v>#REF!</v>
      </c>
      <c r="F267" s="4" t="e">
        <f t="shared" si="61"/>
        <v>#REF!</v>
      </c>
      <c r="G267" s="4" t="e">
        <f t="shared" si="61"/>
        <v>#REF!</v>
      </c>
      <c r="H267" s="4" t="e">
        <f t="shared" si="61"/>
        <v>#REF!</v>
      </c>
      <c r="I267" s="4" t="e">
        <f t="shared" si="61"/>
        <v>#REF!</v>
      </c>
      <c r="J267" s="4" t="e">
        <f t="shared" si="61"/>
        <v>#REF!</v>
      </c>
      <c r="K267" s="4" t="e">
        <f t="shared" si="61"/>
        <v>#REF!</v>
      </c>
    </row>
    <row r="268" spans="1:11" x14ac:dyDescent="0.2">
      <c r="A268" s="75" t="e">
        <f t="shared" si="61"/>
        <v>#REF!</v>
      </c>
      <c r="B268" s="4" t="e">
        <f t="shared" si="61"/>
        <v>#REF!</v>
      </c>
      <c r="C268" s="4" t="e">
        <f t="shared" si="61"/>
        <v>#REF!</v>
      </c>
      <c r="D268" s="4" t="e">
        <f t="shared" si="61"/>
        <v>#REF!</v>
      </c>
      <c r="E268" s="4" t="e">
        <f t="shared" si="61"/>
        <v>#REF!</v>
      </c>
      <c r="F268" s="4" t="e">
        <f t="shared" si="61"/>
        <v>#REF!</v>
      </c>
      <c r="G268" s="4" t="e">
        <f t="shared" si="61"/>
        <v>#REF!</v>
      </c>
      <c r="H268" s="4" t="e">
        <f t="shared" si="61"/>
        <v>#REF!</v>
      </c>
      <c r="I268" s="4" t="e">
        <f t="shared" si="61"/>
        <v>#REF!</v>
      </c>
      <c r="J268" s="4" t="e">
        <f t="shared" si="61"/>
        <v>#REF!</v>
      </c>
      <c r="K268" s="4" t="e">
        <f t="shared" si="61"/>
        <v>#REF!</v>
      </c>
    </row>
    <row r="269" spans="1:11" x14ac:dyDescent="0.2">
      <c r="A269" s="75" t="e">
        <f t="shared" si="61"/>
        <v>#REF!</v>
      </c>
      <c r="B269" s="4" t="e">
        <f t="shared" si="61"/>
        <v>#REF!</v>
      </c>
      <c r="C269" s="4" t="e">
        <f t="shared" si="61"/>
        <v>#REF!</v>
      </c>
      <c r="D269" s="4" t="e">
        <f t="shared" si="61"/>
        <v>#REF!</v>
      </c>
      <c r="E269" s="4" t="e">
        <f t="shared" si="61"/>
        <v>#REF!</v>
      </c>
      <c r="F269" s="4" t="e">
        <f t="shared" si="61"/>
        <v>#REF!</v>
      </c>
      <c r="G269" s="4" t="e">
        <f t="shared" si="61"/>
        <v>#REF!</v>
      </c>
      <c r="H269" s="4" t="e">
        <f t="shared" si="61"/>
        <v>#REF!</v>
      </c>
      <c r="I269" s="4" t="e">
        <f t="shared" si="61"/>
        <v>#REF!</v>
      </c>
      <c r="J269" s="4" t="e">
        <f t="shared" si="61"/>
        <v>#REF!</v>
      </c>
      <c r="K269" s="4" t="e">
        <f t="shared" si="61"/>
        <v>#REF!</v>
      </c>
    </row>
    <row r="270" spans="1:11" x14ac:dyDescent="0.2">
      <c r="A270" s="75" t="e">
        <f t="shared" si="61"/>
        <v>#REF!</v>
      </c>
      <c r="B270" s="4" t="e">
        <f t="shared" si="61"/>
        <v>#REF!</v>
      </c>
      <c r="C270" s="4" t="e">
        <f t="shared" si="61"/>
        <v>#REF!</v>
      </c>
      <c r="D270" s="4" t="e">
        <f t="shared" si="61"/>
        <v>#REF!</v>
      </c>
      <c r="E270" s="4" t="e">
        <f t="shared" si="61"/>
        <v>#REF!</v>
      </c>
      <c r="F270" s="4" t="e">
        <f t="shared" si="61"/>
        <v>#REF!</v>
      </c>
      <c r="G270" s="4" t="e">
        <f t="shared" si="61"/>
        <v>#REF!</v>
      </c>
      <c r="H270" s="4" t="e">
        <f t="shared" si="61"/>
        <v>#REF!</v>
      </c>
      <c r="I270" s="4" t="e">
        <f t="shared" si="61"/>
        <v>#REF!</v>
      </c>
      <c r="J270" s="4" t="e">
        <f t="shared" si="61"/>
        <v>#REF!</v>
      </c>
      <c r="K270" s="4" t="e">
        <f t="shared" si="61"/>
        <v>#REF!</v>
      </c>
    </row>
    <row r="271" spans="1:11" x14ac:dyDescent="0.2">
      <c r="A271" s="79" t="e">
        <f t="shared" si="61"/>
        <v>#REF!</v>
      </c>
      <c r="B271" s="4" t="e">
        <f t="shared" si="61"/>
        <v>#REF!</v>
      </c>
      <c r="C271" s="4" t="e">
        <f t="shared" si="61"/>
        <v>#REF!</v>
      </c>
      <c r="D271" s="4" t="e">
        <f t="shared" si="61"/>
        <v>#REF!</v>
      </c>
      <c r="E271" s="4" t="e">
        <f t="shared" si="61"/>
        <v>#REF!</v>
      </c>
      <c r="F271" s="4" t="e">
        <f t="shared" si="61"/>
        <v>#REF!</v>
      </c>
      <c r="G271" s="4" t="e">
        <f t="shared" si="61"/>
        <v>#REF!</v>
      </c>
      <c r="H271" s="4" t="e">
        <f t="shared" si="61"/>
        <v>#REF!</v>
      </c>
      <c r="I271" s="4" t="e">
        <f t="shared" si="61"/>
        <v>#REF!</v>
      </c>
      <c r="J271" s="4" t="e">
        <f t="shared" si="61"/>
        <v>#REF!</v>
      </c>
      <c r="K271" s="4" t="e">
        <f t="shared" si="61"/>
        <v>#REF!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 t="e">
        <f>A248</f>
        <v>#REF!</v>
      </c>
      <c r="B275" s="303" t="e">
        <f>IF(B$247=C$247,B$247*100,IF(C248=0,B$247*100&amp;"/0",IF(B248=0,"0/"&amp;C$247*100,B$247*100&amp;"/"&amp;C$247*100)))</f>
        <v>#REF!</v>
      </c>
      <c r="C275" s="304"/>
      <c r="D275" s="305" t="e">
        <f>IF(D$247=E$247,D$247*100,IF(E248=0,D$247*100&amp;"/0",IF(D248=0,"0/"&amp;E$247*100,D$247*100&amp;"/"&amp;E$247*100)))</f>
        <v>#REF!</v>
      </c>
      <c r="E275" s="306"/>
      <c r="F275" s="305" t="e">
        <f>IF(F$247=G$247,F$247*100,IF(G248=0,F$247*100&amp;"/0",IF(F248=0,"0/"&amp;G$247*100,F$247*100&amp;"/"&amp;G$247*100)))</f>
        <v>#REF!</v>
      </c>
      <c r="G275" s="306"/>
      <c r="H275" s="305" t="e">
        <f>IF(H$247=I$247,H$247*100,IF(I248=0,H$247*100&amp;"/0",IF(H248=0,"0/"&amp;I$247*100,H$247*100&amp;"/"&amp;I$247*100)))</f>
        <v>#REF!</v>
      </c>
      <c r="I275" s="306"/>
      <c r="J275" s="303" t="e">
        <f>IF($G$5="","",IF(J$247=K$247,J$247*100,IF(K248=0,J$247*100&amp;"/0",IF(J248=0,"0/"&amp;K$247*100,J$247*100&amp;"/"&amp;K$247*100))))</f>
        <v>#REF!</v>
      </c>
      <c r="K275" s="304"/>
    </row>
    <row r="276" spans="1:11" x14ac:dyDescent="0.2">
      <c r="A276" s="82" t="e">
        <f t="shared" ref="A276:A298" si="62">A249</f>
        <v>#REF!</v>
      </c>
      <c r="B276" s="303" t="e">
        <f>IF(B$247=C$247,B$247*100,IF(C249=0,B$247*100&amp;"/0",IF(B249=0,"0/"&amp;C$247*100,B$247*100&amp;"/"&amp;C$247*100)))</f>
        <v>#REF!</v>
      </c>
      <c r="C276" s="304"/>
      <c r="D276" s="305" t="e">
        <f t="shared" ref="D276:D298" si="63">IF(D$247=E$247,D$247*100,IF(E249=0,D$247*100&amp;"/0",IF(D249=0,"0/"&amp;E$247*100,D$247*100&amp;"/"&amp;E$247*100)))</f>
        <v>#REF!</v>
      </c>
      <c r="E276" s="306"/>
      <c r="F276" s="305" t="e">
        <f t="shared" ref="F276:F298" si="64">IF(F$247=G$247,F$247*100,IF(G249=0,F$247*100&amp;"/0",IF(F249=0,"0/"&amp;G$247*100,F$247*100&amp;"/"&amp;G$247*100)))</f>
        <v>#REF!</v>
      </c>
      <c r="G276" s="306"/>
      <c r="H276" s="305" t="e">
        <f t="shared" ref="H276:H298" si="65">IF(H$247=I$247,H$247*100,IF(I249=0,H$247*100&amp;"/0",IF(H249=0,"0/"&amp;I$247*100,H$247*100&amp;"/"&amp;I$247*100)))</f>
        <v>#REF!</v>
      </c>
      <c r="I276" s="306"/>
      <c r="J276" s="303" t="e">
        <f t="shared" ref="J276:J298" si="66">IF($G$5="","",IF(J$247=K$247,J$247*100,IF(K249=0,J$247*100&amp;"/0",IF(J249=0,"0/"&amp;K$247*100,J$247*100&amp;"/"&amp;K$247*100))))</f>
        <v>#REF!</v>
      </c>
      <c r="K276" s="304"/>
    </row>
    <row r="277" spans="1:11" x14ac:dyDescent="0.2">
      <c r="A277" s="82" t="e">
        <f t="shared" si="62"/>
        <v>#REF!</v>
      </c>
      <c r="B277" s="303" t="e">
        <f>IF(B$247=C$247,B$247*100,IF(C250=0,B$247*100&amp;"/0",IF(B250=0,"0/"&amp;C$247*100,B$247*100&amp;"/"&amp;C$247*100)))</f>
        <v>#REF!</v>
      </c>
      <c r="C277" s="304"/>
      <c r="D277" s="305" t="e">
        <f t="shared" si="63"/>
        <v>#REF!</v>
      </c>
      <c r="E277" s="306"/>
      <c r="F277" s="305" t="e">
        <f t="shared" si="64"/>
        <v>#REF!</v>
      </c>
      <c r="G277" s="306"/>
      <c r="H277" s="305" t="e">
        <f t="shared" si="65"/>
        <v>#REF!</v>
      </c>
      <c r="I277" s="306"/>
      <c r="J277" s="303" t="e">
        <f t="shared" si="66"/>
        <v>#REF!</v>
      </c>
      <c r="K277" s="304"/>
    </row>
    <row r="278" spans="1:11" x14ac:dyDescent="0.2">
      <c r="A278" s="82" t="e">
        <f t="shared" si="62"/>
        <v>#REF!</v>
      </c>
      <c r="B278" s="303" t="e">
        <f>IF(B$247=C$247,B$247*100,IF(C251=0,B$247*100&amp;"/0",IF(B251=0,"0/"&amp;C$247*100,B$247*100&amp;"/"&amp;C$247*100)))</f>
        <v>#REF!</v>
      </c>
      <c r="C278" s="304"/>
      <c r="D278" s="305" t="e">
        <f t="shared" si="63"/>
        <v>#REF!</v>
      </c>
      <c r="E278" s="306"/>
      <c r="F278" s="305" t="e">
        <f t="shared" si="64"/>
        <v>#REF!</v>
      </c>
      <c r="G278" s="306"/>
      <c r="H278" s="305" t="e">
        <f t="shared" si="65"/>
        <v>#REF!</v>
      </c>
      <c r="I278" s="306"/>
      <c r="J278" s="303" t="e">
        <f t="shared" si="66"/>
        <v>#REF!</v>
      </c>
      <c r="K278" s="304"/>
    </row>
    <row r="279" spans="1:11" x14ac:dyDescent="0.2">
      <c r="A279" s="82" t="e">
        <f t="shared" si="62"/>
        <v>#REF!</v>
      </c>
      <c r="B279" s="303" t="e">
        <f t="shared" ref="B279:B298" si="67">IF(B$247=C$247,B$247*100,IF(C252=0,B$247*100&amp;"/0",IF(B252=0,"0/"&amp;C$247*100,B$247*100&amp;"/"&amp;C$247*100)))</f>
        <v>#REF!</v>
      </c>
      <c r="C279" s="304"/>
      <c r="D279" s="305" t="e">
        <f t="shared" si="63"/>
        <v>#REF!</v>
      </c>
      <c r="E279" s="306"/>
      <c r="F279" s="305" t="e">
        <f t="shared" si="64"/>
        <v>#REF!</v>
      </c>
      <c r="G279" s="306"/>
      <c r="H279" s="305" t="e">
        <f t="shared" si="65"/>
        <v>#REF!</v>
      </c>
      <c r="I279" s="306"/>
      <c r="J279" s="303" t="e">
        <f t="shared" si="66"/>
        <v>#REF!</v>
      </c>
      <c r="K279" s="304"/>
    </row>
    <row r="280" spans="1:11" x14ac:dyDescent="0.2">
      <c r="A280" s="82" t="e">
        <f t="shared" si="62"/>
        <v>#REF!</v>
      </c>
      <c r="B280" s="303" t="e">
        <f t="shared" si="67"/>
        <v>#REF!</v>
      </c>
      <c r="C280" s="304"/>
      <c r="D280" s="305" t="e">
        <f t="shared" si="63"/>
        <v>#REF!</v>
      </c>
      <c r="E280" s="306"/>
      <c r="F280" s="305" t="e">
        <f t="shared" si="64"/>
        <v>#REF!</v>
      </c>
      <c r="G280" s="306"/>
      <c r="H280" s="305" t="e">
        <f t="shared" si="65"/>
        <v>#REF!</v>
      </c>
      <c r="I280" s="306"/>
      <c r="J280" s="303" t="e">
        <f t="shared" si="66"/>
        <v>#REF!</v>
      </c>
      <c r="K280" s="304"/>
    </row>
    <row r="281" spans="1:11" x14ac:dyDescent="0.2">
      <c r="A281" s="82" t="e">
        <f t="shared" si="62"/>
        <v>#REF!</v>
      </c>
      <c r="B281" s="303" t="e">
        <f t="shared" si="67"/>
        <v>#REF!</v>
      </c>
      <c r="C281" s="304"/>
      <c r="D281" s="305" t="e">
        <f t="shared" si="63"/>
        <v>#REF!</v>
      </c>
      <c r="E281" s="306"/>
      <c r="F281" s="305" t="e">
        <f t="shared" si="64"/>
        <v>#REF!</v>
      </c>
      <c r="G281" s="306"/>
      <c r="H281" s="305" t="e">
        <f t="shared" si="65"/>
        <v>#REF!</v>
      </c>
      <c r="I281" s="306"/>
      <c r="J281" s="303" t="e">
        <f t="shared" si="66"/>
        <v>#REF!</v>
      </c>
      <c r="K281" s="304"/>
    </row>
    <row r="282" spans="1:11" x14ac:dyDescent="0.2">
      <c r="A282" s="82" t="e">
        <f t="shared" si="62"/>
        <v>#REF!</v>
      </c>
      <c r="B282" s="303" t="e">
        <f t="shared" si="67"/>
        <v>#REF!</v>
      </c>
      <c r="C282" s="304"/>
      <c r="D282" s="305" t="e">
        <f t="shared" si="63"/>
        <v>#REF!</v>
      </c>
      <c r="E282" s="306"/>
      <c r="F282" s="305" t="e">
        <f t="shared" si="64"/>
        <v>#REF!</v>
      </c>
      <c r="G282" s="306"/>
      <c r="H282" s="305" t="e">
        <f t="shared" si="65"/>
        <v>#REF!</v>
      </c>
      <c r="I282" s="306"/>
      <c r="J282" s="303" t="e">
        <f t="shared" si="66"/>
        <v>#REF!</v>
      </c>
      <c r="K282" s="304"/>
    </row>
    <row r="283" spans="1:11" x14ac:dyDescent="0.2">
      <c r="A283" s="82" t="e">
        <f t="shared" si="62"/>
        <v>#REF!</v>
      </c>
      <c r="B283" s="303" t="e">
        <f t="shared" si="67"/>
        <v>#REF!</v>
      </c>
      <c r="C283" s="304"/>
      <c r="D283" s="305" t="e">
        <f t="shared" si="63"/>
        <v>#REF!</v>
      </c>
      <c r="E283" s="306"/>
      <c r="F283" s="305" t="e">
        <f t="shared" si="64"/>
        <v>#REF!</v>
      </c>
      <c r="G283" s="306"/>
      <c r="H283" s="305" t="e">
        <f t="shared" si="65"/>
        <v>#REF!</v>
      </c>
      <c r="I283" s="306"/>
      <c r="J283" s="303" t="e">
        <f t="shared" si="66"/>
        <v>#REF!</v>
      </c>
      <c r="K283" s="304"/>
    </row>
    <row r="284" spans="1:11" x14ac:dyDescent="0.2">
      <c r="A284" s="82" t="e">
        <f t="shared" si="62"/>
        <v>#REF!</v>
      </c>
      <c r="B284" s="303" t="e">
        <f t="shared" si="67"/>
        <v>#REF!</v>
      </c>
      <c r="C284" s="304"/>
      <c r="D284" s="305" t="e">
        <f t="shared" si="63"/>
        <v>#REF!</v>
      </c>
      <c r="E284" s="306"/>
      <c r="F284" s="305" t="e">
        <f t="shared" si="64"/>
        <v>#REF!</v>
      </c>
      <c r="G284" s="306"/>
      <c r="H284" s="305" t="e">
        <f t="shared" si="65"/>
        <v>#REF!</v>
      </c>
      <c r="I284" s="306"/>
      <c r="J284" s="303" t="e">
        <f t="shared" si="66"/>
        <v>#REF!</v>
      </c>
      <c r="K284" s="304"/>
    </row>
    <row r="285" spans="1:11" x14ac:dyDescent="0.2">
      <c r="A285" s="82" t="e">
        <f t="shared" si="62"/>
        <v>#REF!</v>
      </c>
      <c r="B285" s="303" t="e">
        <f t="shared" si="67"/>
        <v>#REF!</v>
      </c>
      <c r="C285" s="304"/>
      <c r="D285" s="305" t="e">
        <f t="shared" si="63"/>
        <v>#REF!</v>
      </c>
      <c r="E285" s="306"/>
      <c r="F285" s="305" t="e">
        <f t="shared" si="64"/>
        <v>#REF!</v>
      </c>
      <c r="G285" s="306"/>
      <c r="H285" s="305" t="e">
        <f t="shared" si="65"/>
        <v>#REF!</v>
      </c>
      <c r="I285" s="306"/>
      <c r="J285" s="303" t="e">
        <f t="shared" si="66"/>
        <v>#REF!</v>
      </c>
      <c r="K285" s="304"/>
    </row>
    <row r="286" spans="1:11" x14ac:dyDescent="0.2">
      <c r="A286" s="82" t="e">
        <f t="shared" si="62"/>
        <v>#REF!</v>
      </c>
      <c r="B286" s="303" t="e">
        <f t="shared" si="67"/>
        <v>#REF!</v>
      </c>
      <c r="C286" s="304"/>
      <c r="D286" s="305" t="e">
        <f t="shared" si="63"/>
        <v>#REF!</v>
      </c>
      <c r="E286" s="306"/>
      <c r="F286" s="305" t="e">
        <f t="shared" si="64"/>
        <v>#REF!</v>
      </c>
      <c r="G286" s="306"/>
      <c r="H286" s="305" t="e">
        <f t="shared" si="65"/>
        <v>#REF!</v>
      </c>
      <c r="I286" s="306"/>
      <c r="J286" s="303" t="e">
        <f t="shared" si="66"/>
        <v>#REF!</v>
      </c>
      <c r="K286" s="304"/>
    </row>
    <row r="287" spans="1:11" x14ac:dyDescent="0.2">
      <c r="A287" s="82" t="e">
        <f t="shared" si="62"/>
        <v>#REF!</v>
      </c>
      <c r="B287" s="303" t="e">
        <f t="shared" si="67"/>
        <v>#REF!</v>
      </c>
      <c r="C287" s="304"/>
      <c r="D287" s="305" t="e">
        <f t="shared" si="63"/>
        <v>#REF!</v>
      </c>
      <c r="E287" s="306"/>
      <c r="F287" s="305" t="e">
        <f t="shared" si="64"/>
        <v>#REF!</v>
      </c>
      <c r="G287" s="306"/>
      <c r="H287" s="305" t="e">
        <f t="shared" si="65"/>
        <v>#REF!</v>
      </c>
      <c r="I287" s="306"/>
      <c r="J287" s="303" t="e">
        <f t="shared" si="66"/>
        <v>#REF!</v>
      </c>
      <c r="K287" s="304"/>
    </row>
    <row r="288" spans="1:11" x14ac:dyDescent="0.2">
      <c r="A288" s="82" t="e">
        <f t="shared" si="62"/>
        <v>#REF!</v>
      </c>
      <c r="B288" s="303" t="e">
        <f t="shared" si="67"/>
        <v>#REF!</v>
      </c>
      <c r="C288" s="304"/>
      <c r="D288" s="305" t="e">
        <f t="shared" si="63"/>
        <v>#REF!</v>
      </c>
      <c r="E288" s="306"/>
      <c r="F288" s="305" t="e">
        <f t="shared" si="64"/>
        <v>#REF!</v>
      </c>
      <c r="G288" s="306"/>
      <c r="H288" s="305" t="e">
        <f t="shared" si="65"/>
        <v>#REF!</v>
      </c>
      <c r="I288" s="306"/>
      <c r="J288" s="303" t="e">
        <f t="shared" si="66"/>
        <v>#REF!</v>
      </c>
      <c r="K288" s="304"/>
    </row>
    <row r="289" spans="1:11" x14ac:dyDescent="0.2">
      <c r="A289" s="82" t="e">
        <f t="shared" si="62"/>
        <v>#REF!</v>
      </c>
      <c r="B289" s="303" t="e">
        <f t="shared" si="67"/>
        <v>#REF!</v>
      </c>
      <c r="C289" s="304"/>
      <c r="D289" s="305" t="e">
        <f t="shared" si="63"/>
        <v>#REF!</v>
      </c>
      <c r="E289" s="306"/>
      <c r="F289" s="305" t="e">
        <f t="shared" si="64"/>
        <v>#REF!</v>
      </c>
      <c r="G289" s="306"/>
      <c r="H289" s="305" t="e">
        <f t="shared" si="65"/>
        <v>#REF!</v>
      </c>
      <c r="I289" s="306"/>
      <c r="J289" s="303" t="e">
        <f t="shared" si="66"/>
        <v>#REF!</v>
      </c>
      <c r="K289" s="304"/>
    </row>
    <row r="290" spans="1:11" x14ac:dyDescent="0.2">
      <c r="A290" s="82" t="e">
        <f t="shared" si="62"/>
        <v>#REF!</v>
      </c>
      <c r="B290" s="303" t="e">
        <f t="shared" si="67"/>
        <v>#REF!</v>
      </c>
      <c r="C290" s="304"/>
      <c r="D290" s="305" t="e">
        <f t="shared" si="63"/>
        <v>#REF!</v>
      </c>
      <c r="E290" s="306"/>
      <c r="F290" s="305" t="e">
        <f t="shared" si="64"/>
        <v>#REF!</v>
      </c>
      <c r="G290" s="306"/>
      <c r="H290" s="305" t="e">
        <f t="shared" si="65"/>
        <v>#REF!</v>
      </c>
      <c r="I290" s="306"/>
      <c r="J290" s="303" t="e">
        <f t="shared" si="66"/>
        <v>#REF!</v>
      </c>
      <c r="K290" s="304"/>
    </row>
    <row r="291" spans="1:11" x14ac:dyDescent="0.2">
      <c r="A291" s="82" t="e">
        <f t="shared" si="62"/>
        <v>#REF!</v>
      </c>
      <c r="B291" s="303" t="e">
        <f t="shared" si="67"/>
        <v>#REF!</v>
      </c>
      <c r="C291" s="304"/>
      <c r="D291" s="305" t="e">
        <f t="shared" si="63"/>
        <v>#REF!</v>
      </c>
      <c r="E291" s="306"/>
      <c r="F291" s="305" t="e">
        <f t="shared" si="64"/>
        <v>#REF!</v>
      </c>
      <c r="G291" s="306"/>
      <c r="H291" s="305" t="e">
        <f t="shared" si="65"/>
        <v>#REF!</v>
      </c>
      <c r="I291" s="306"/>
      <c r="J291" s="303" t="e">
        <f t="shared" si="66"/>
        <v>#REF!</v>
      </c>
      <c r="K291" s="304"/>
    </row>
    <row r="292" spans="1:11" x14ac:dyDescent="0.2">
      <c r="A292" s="82" t="e">
        <f t="shared" si="62"/>
        <v>#REF!</v>
      </c>
      <c r="B292" s="303" t="e">
        <f t="shared" si="67"/>
        <v>#REF!</v>
      </c>
      <c r="C292" s="304"/>
      <c r="D292" s="305" t="e">
        <f t="shared" si="63"/>
        <v>#REF!</v>
      </c>
      <c r="E292" s="306"/>
      <c r="F292" s="305" t="e">
        <f t="shared" si="64"/>
        <v>#REF!</v>
      </c>
      <c r="G292" s="306"/>
      <c r="H292" s="305" t="e">
        <f t="shared" si="65"/>
        <v>#REF!</v>
      </c>
      <c r="I292" s="306"/>
      <c r="J292" s="303" t="e">
        <f t="shared" si="66"/>
        <v>#REF!</v>
      </c>
      <c r="K292" s="304"/>
    </row>
    <row r="293" spans="1:11" x14ac:dyDescent="0.2">
      <c r="A293" s="82" t="e">
        <f t="shared" si="62"/>
        <v>#REF!</v>
      </c>
      <c r="B293" s="303" t="e">
        <f t="shared" si="67"/>
        <v>#REF!</v>
      </c>
      <c r="C293" s="304"/>
      <c r="D293" s="305" t="e">
        <f t="shared" si="63"/>
        <v>#REF!</v>
      </c>
      <c r="E293" s="306"/>
      <c r="F293" s="305" t="e">
        <f t="shared" si="64"/>
        <v>#REF!</v>
      </c>
      <c r="G293" s="306"/>
      <c r="H293" s="305" t="e">
        <f t="shared" si="65"/>
        <v>#REF!</v>
      </c>
      <c r="I293" s="306"/>
      <c r="J293" s="303" t="e">
        <f t="shared" si="66"/>
        <v>#REF!</v>
      </c>
      <c r="K293" s="304"/>
    </row>
    <row r="294" spans="1:11" x14ac:dyDescent="0.2">
      <c r="A294" s="82" t="e">
        <f t="shared" si="62"/>
        <v>#REF!</v>
      </c>
      <c r="B294" s="303" t="e">
        <f t="shared" si="67"/>
        <v>#REF!</v>
      </c>
      <c r="C294" s="304"/>
      <c r="D294" s="305" t="e">
        <f t="shared" si="63"/>
        <v>#REF!</v>
      </c>
      <c r="E294" s="306"/>
      <c r="F294" s="305" t="e">
        <f t="shared" si="64"/>
        <v>#REF!</v>
      </c>
      <c r="G294" s="306"/>
      <c r="H294" s="305" t="e">
        <f t="shared" si="65"/>
        <v>#REF!</v>
      </c>
      <c r="I294" s="306"/>
      <c r="J294" s="303" t="e">
        <f t="shared" si="66"/>
        <v>#REF!</v>
      </c>
      <c r="K294" s="304"/>
    </row>
    <row r="295" spans="1:11" x14ac:dyDescent="0.2">
      <c r="A295" s="82" t="e">
        <f t="shared" si="62"/>
        <v>#REF!</v>
      </c>
      <c r="B295" s="303" t="e">
        <f t="shared" si="67"/>
        <v>#REF!</v>
      </c>
      <c r="C295" s="304"/>
      <c r="D295" s="305" t="e">
        <f t="shared" si="63"/>
        <v>#REF!</v>
      </c>
      <c r="E295" s="306"/>
      <c r="F295" s="305" t="e">
        <f t="shared" si="64"/>
        <v>#REF!</v>
      </c>
      <c r="G295" s="306"/>
      <c r="H295" s="305" t="e">
        <f t="shared" si="65"/>
        <v>#REF!</v>
      </c>
      <c r="I295" s="306"/>
      <c r="J295" s="303" t="e">
        <f t="shared" si="66"/>
        <v>#REF!</v>
      </c>
      <c r="K295" s="304"/>
    </row>
    <row r="296" spans="1:11" x14ac:dyDescent="0.2">
      <c r="A296" s="82" t="e">
        <f t="shared" si="62"/>
        <v>#REF!</v>
      </c>
      <c r="B296" s="303" t="e">
        <f t="shared" si="67"/>
        <v>#REF!</v>
      </c>
      <c r="C296" s="304"/>
      <c r="D296" s="305" t="e">
        <f t="shared" si="63"/>
        <v>#REF!</v>
      </c>
      <c r="E296" s="306"/>
      <c r="F296" s="305" t="e">
        <f t="shared" si="64"/>
        <v>#REF!</v>
      </c>
      <c r="G296" s="306"/>
      <c r="H296" s="305" t="e">
        <f t="shared" si="65"/>
        <v>#REF!</v>
      </c>
      <c r="I296" s="306"/>
      <c r="J296" s="303" t="e">
        <f t="shared" si="66"/>
        <v>#REF!</v>
      </c>
      <c r="K296" s="304"/>
    </row>
    <row r="297" spans="1:11" x14ac:dyDescent="0.2">
      <c r="A297" s="82" t="e">
        <f t="shared" si="62"/>
        <v>#REF!</v>
      </c>
      <c r="B297" s="303" t="e">
        <f t="shared" si="67"/>
        <v>#REF!</v>
      </c>
      <c r="C297" s="304"/>
      <c r="D297" s="305" t="e">
        <f t="shared" si="63"/>
        <v>#REF!</v>
      </c>
      <c r="E297" s="306"/>
      <c r="F297" s="305" t="e">
        <f t="shared" si="64"/>
        <v>#REF!</v>
      </c>
      <c r="G297" s="306"/>
      <c r="H297" s="305" t="e">
        <f t="shared" si="65"/>
        <v>#REF!</v>
      </c>
      <c r="I297" s="306"/>
      <c r="J297" s="303" t="e">
        <f t="shared" si="66"/>
        <v>#REF!</v>
      </c>
      <c r="K297" s="304"/>
    </row>
    <row r="298" spans="1:11" x14ac:dyDescent="0.2">
      <c r="A298" s="82" t="e">
        <f t="shared" si="62"/>
        <v>#REF!</v>
      </c>
      <c r="B298" s="303" t="e">
        <f t="shared" si="67"/>
        <v>#REF!</v>
      </c>
      <c r="C298" s="304"/>
      <c r="D298" s="305" t="e">
        <f t="shared" si="63"/>
        <v>#REF!</v>
      </c>
      <c r="E298" s="306"/>
      <c r="F298" s="305" t="e">
        <f t="shared" si="64"/>
        <v>#REF!</v>
      </c>
      <c r="G298" s="306"/>
      <c r="H298" s="305" t="e">
        <f t="shared" si="65"/>
        <v>#REF!</v>
      </c>
      <c r="I298" s="306"/>
      <c r="J298" s="303" t="e">
        <f t="shared" si="66"/>
        <v>#REF!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 t="e">
        <f>A275</f>
        <v>#REF!</v>
      </c>
      <c r="B301" s="302" t="e">
        <f>ROUND(#REF!/'W8'!H177*'W8'!B248*'W8'!$B$247+#REF!/'W8'!H177*'W8'!C248*'W8'!C247,0)</f>
        <v>#REF!</v>
      </c>
      <c r="C301" s="300"/>
      <c r="D301" s="302" t="e">
        <f>ROUND(#REF!/(D248+E248)*'W8'!D248*'W8'!D$247+#REF!/(D248+E248)*'W8'!E248*'W8'!E$247,0)</f>
        <v>#REF!</v>
      </c>
      <c r="E301" s="300"/>
      <c r="F301" s="302" t="e">
        <f>ROUND(#REF!/(F248+G248)*'W8'!F248*'W8'!F$247+#REF!/(F248+G248)*'W8'!G248*'W8'!G$247,0)</f>
        <v>#REF!</v>
      </c>
      <c r="G301" s="300"/>
      <c r="H301" s="302" t="e">
        <f>ROUND(#REF!/(H248+I248)*'W8'!H248*'W8'!H$247+#REF!/(H248+I248)*'W8'!I248*'W8'!I$247,0)</f>
        <v>#REF!</v>
      </c>
      <c r="I301" s="300"/>
      <c r="J301" s="302" t="e">
        <f>IF(J275=0,"",ROUND(#REF!/(J248+K248)*'W8'!J248*'W8'!J$247+#REF!/(J248+K248)*'W8'!K248*'W8'!K$247,0))</f>
        <v>#REF!</v>
      </c>
      <c r="K301" s="300"/>
    </row>
    <row r="302" spans="1:11" x14ac:dyDescent="0.2">
      <c r="A302" s="82" t="e">
        <f t="shared" ref="A302:A324" si="68">A276</f>
        <v>#REF!</v>
      </c>
      <c r="B302" s="302" t="e">
        <f>ROUND(#REF!/'W8'!H178*'W8'!B249*'W8'!$B$247+#REF!/'W8'!H178*'W8'!C249*'W8'!$C$247,0)</f>
        <v>#REF!</v>
      </c>
      <c r="C302" s="300"/>
      <c r="D302" s="302" t="e">
        <f>ROUND(#REF!/(D249+E249)*'W8'!D249*'W8'!D$247+#REF!/(D249+E249)*'W8'!E249*'W8'!E$247,0)</f>
        <v>#REF!</v>
      </c>
      <c r="E302" s="300"/>
      <c r="F302" s="302" t="e">
        <f>ROUND(#REF!/(F249+G249)*'W8'!F249*'W8'!F$247+#REF!/(F249+G249)*'W8'!G249*'W8'!G$247,0)</f>
        <v>#REF!</v>
      </c>
      <c r="G302" s="300"/>
      <c r="H302" s="302" t="e">
        <f>ROUND(#REF!/(H249+I249)*'W8'!H249*'W8'!H$247+#REF!/(H249+I249)*'W8'!I249*'W8'!I$247,0)</f>
        <v>#REF!</v>
      </c>
      <c r="I302" s="300"/>
      <c r="J302" s="302" t="e">
        <f>IF(J276=0,"",ROUND(#REF!/(J249+K249)*'W8'!J249*'W8'!J$247+#REF!/(J249+K249)*'W8'!K249*'W8'!K$247,0))</f>
        <v>#REF!</v>
      </c>
      <c r="K302" s="300"/>
    </row>
    <row r="303" spans="1:11" x14ac:dyDescent="0.2">
      <c r="A303" s="82" t="e">
        <f t="shared" si="68"/>
        <v>#REF!</v>
      </c>
      <c r="B303" s="302" t="e">
        <f>ROUND(#REF!/'W8'!H179*'W8'!B250*'W8'!$B$247+#REF!/'W8'!H179*'W8'!C250*'W8'!$C$247,0)</f>
        <v>#REF!</v>
      </c>
      <c r="C303" s="300"/>
      <c r="D303" s="302" t="e">
        <f>ROUND(#REF!/(D250+E250)*'W8'!D250*'W8'!D$247+#REF!/(D250+E250)*'W8'!E250*'W8'!E$247,0)</f>
        <v>#REF!</v>
      </c>
      <c r="E303" s="300"/>
      <c r="F303" s="302" t="e">
        <f>ROUND(#REF!/(F250+G250)*'W8'!F250*'W8'!F$247+#REF!/(F250+G250)*'W8'!G250*'W8'!G$247,0)</f>
        <v>#REF!</v>
      </c>
      <c r="G303" s="300"/>
      <c r="H303" s="302" t="e">
        <f>ROUND(#REF!/(H250+I250)*'W8'!H250*'W8'!H$247+#REF!/(H250+I250)*'W8'!I250*'W8'!I$247,0)</f>
        <v>#REF!</v>
      </c>
      <c r="I303" s="300"/>
      <c r="J303" s="302" t="e">
        <f>IF(J277=0,"",ROUND(#REF!/(J250+K250)*'W8'!J250*'W8'!J$247+#REF!/(J250+K250)*'W8'!K250*'W8'!K$247,0))</f>
        <v>#REF!</v>
      </c>
      <c r="K303" s="300"/>
    </row>
    <row r="304" spans="1:11" x14ac:dyDescent="0.2">
      <c r="A304" s="82" t="e">
        <f t="shared" si="68"/>
        <v>#REF!</v>
      </c>
      <c r="B304" s="302" t="e">
        <f>ROUND(#REF!/'W8'!H180*'W8'!B251*'W8'!$B$247+#REF!/'W8'!H180*'W8'!C251*'W8'!$C$247,0)</f>
        <v>#REF!</v>
      </c>
      <c r="C304" s="300"/>
      <c r="D304" s="302" t="e">
        <f>ROUND(#REF!/(D251+E251)*'W8'!D251*'W8'!D$247+#REF!/(D251+E251)*'W8'!E251*'W8'!E$247,0)</f>
        <v>#REF!</v>
      </c>
      <c r="E304" s="300"/>
      <c r="F304" s="302" t="e">
        <f>ROUND(#REF!/(F251+G251)*'W8'!F251*'W8'!F$247+#REF!/(F251+G251)*'W8'!G251*'W8'!G$247,0)</f>
        <v>#REF!</v>
      </c>
      <c r="G304" s="300"/>
      <c r="H304" s="302" t="e">
        <f>ROUND(#REF!/(H251+I251)*'W8'!H251*'W8'!H$247+#REF!/(H251+I251)*'W8'!I251*'W8'!I$247,0)</f>
        <v>#REF!</v>
      </c>
      <c r="I304" s="300"/>
      <c r="J304" s="302" t="e">
        <f>IF(J278=0,"",ROUND(#REF!/(J251+K251)*'W8'!J251*'W8'!J$247+#REF!/(J251+K251)*'W8'!K251*'W8'!K$247,0))</f>
        <v>#REF!</v>
      </c>
      <c r="K304" s="300"/>
    </row>
    <row r="305" spans="1:12" x14ac:dyDescent="0.2">
      <c r="A305" s="82" t="e">
        <f t="shared" si="68"/>
        <v>#REF!</v>
      </c>
      <c r="B305" s="302" t="e">
        <f>IF((B252+C252)&lt;&gt;0,ROUND(#REF!/'W8'!H181*'W8'!B252*'W8'!$B$247+#REF!/'W8'!H181*'W8'!C252*'W8'!$C$247,0),0)</f>
        <v>#REF!</v>
      </c>
      <c r="C305" s="300"/>
      <c r="D305" s="302" t="e">
        <f>ROUND(#REF!/(D252+E252)*'W8'!D252*'W8'!D$247+#REF!/(D252+E252)*'W8'!E252*'W8'!E$247,0)</f>
        <v>#REF!</v>
      </c>
      <c r="E305" s="300"/>
      <c r="F305" s="302" t="e">
        <f>ROUND(#REF!/(F252+G252)*'W8'!F252*'W8'!F$247+#REF!/(F252+G252)*'W8'!G252*'W8'!G$247,0)</f>
        <v>#REF!</v>
      </c>
      <c r="G305" s="300"/>
      <c r="H305" s="302" t="e">
        <f>ROUND(#REF!/(H252+I252)*'W8'!H252*'W8'!H$247+#REF!/(H252+I252)*'W8'!I252*'W8'!I$247,0)</f>
        <v>#REF!</v>
      </c>
      <c r="I305" s="300"/>
      <c r="J305" s="302" t="e">
        <f>IF(J279=0,"",ROUND(#REF!/(J252+K252)*'W8'!J252*'W8'!J$247+#REF!/(J252+K252)*'W8'!K252*'W8'!K$247,0))</f>
        <v>#REF!</v>
      </c>
      <c r="K305" s="300"/>
      <c r="L305" s="17"/>
    </row>
    <row r="306" spans="1:12" x14ac:dyDescent="0.2">
      <c r="A306" s="82" t="e">
        <f t="shared" si="68"/>
        <v>#REF!</v>
      </c>
      <c r="B306" s="302" t="e">
        <f>IF((B253+C253)&lt;&gt;0,ROUND(#REF!/'W8'!H182*'W8'!B253*'W8'!$B$247+#REF!/'W8'!H182*'W8'!C253*'W8'!$C$247,0),0)</f>
        <v>#REF!</v>
      </c>
      <c r="C306" s="300"/>
      <c r="D306" s="302" t="e">
        <f>ROUND(#REF!/(D253+E253)*'W8'!D253*'W8'!D$247+#REF!/(D253+E253)*'W8'!E253*'W8'!E$247,0)</f>
        <v>#REF!</v>
      </c>
      <c r="E306" s="300"/>
      <c r="F306" s="302" t="e">
        <f>ROUND(#REF!/(F253+G253)*'W8'!F253*'W8'!F$247+#REF!/(F253+G253)*'W8'!G253*'W8'!G$247,0)</f>
        <v>#REF!</v>
      </c>
      <c r="G306" s="300"/>
      <c r="H306" s="302" t="e">
        <f>ROUND(#REF!/(H253+I253)*'W8'!H253*'W8'!H$247+#REF!/(H253+I253)*'W8'!I253*'W8'!I$247,0)</f>
        <v>#REF!</v>
      </c>
      <c r="I306" s="300"/>
      <c r="J306" s="302" t="e">
        <f>IF(J280=0,"",ROUND(#REF!/(J253+K253)*'W8'!J253*'W8'!J$247+#REF!/(J253+K253)*'W8'!K253*'W8'!K$247,0))</f>
        <v>#REF!</v>
      </c>
      <c r="K306" s="300"/>
    </row>
    <row r="307" spans="1:12" x14ac:dyDescent="0.2">
      <c r="A307" s="82" t="e">
        <f t="shared" si="68"/>
        <v>#REF!</v>
      </c>
      <c r="B307" s="302" t="e">
        <f>IF((B254+C254)&lt;&gt;0,ROUND(#REF!/'W8'!H183*'W8'!B254*'W8'!$B$247+#REF!/'W8'!H183*'W8'!C254*'W8'!$C$247,0),0)</f>
        <v>#REF!</v>
      </c>
      <c r="C307" s="300"/>
      <c r="D307" s="302" t="e">
        <f>ROUND(#REF!/(D254+E254)*'W8'!D254*'W8'!D$247+#REF!/(D254+E254)*'W8'!E254*'W8'!E$247,0)</f>
        <v>#REF!</v>
      </c>
      <c r="E307" s="300"/>
      <c r="F307" s="302" t="e">
        <f>ROUND(#REF!/(F254+G254)*'W8'!F254*'W8'!F$247+#REF!/(F254+G254)*'W8'!G254*'W8'!G$247,0)</f>
        <v>#REF!</v>
      </c>
      <c r="G307" s="300"/>
      <c r="H307" s="302" t="e">
        <f>ROUND(#REF!/(H254+I254)*'W8'!H254*'W8'!H$247+#REF!/(H254+I254)*'W8'!I254*'W8'!I$247,0)</f>
        <v>#REF!</v>
      </c>
      <c r="I307" s="300"/>
      <c r="J307" s="302" t="e">
        <f>IF(J281=0,"",ROUND(#REF!/(J254+K254)*'W8'!J254*'W8'!J$247+#REF!/(J254+K254)*'W8'!K254*'W8'!K$247,0))</f>
        <v>#REF!</v>
      </c>
      <c r="K307" s="300"/>
    </row>
    <row r="308" spans="1:12" x14ac:dyDescent="0.2">
      <c r="A308" s="82" t="e">
        <f t="shared" si="68"/>
        <v>#REF!</v>
      </c>
      <c r="B308" s="302" t="e">
        <f>IF((B255+C255)&lt;&gt;0,ROUND(#REF!/'W8'!H184*'W8'!B255*'W8'!$B$247+#REF!/'W8'!H184*'W8'!C255*'W8'!$C$247,0),0)</f>
        <v>#REF!</v>
      </c>
      <c r="C308" s="300"/>
      <c r="D308" s="302" t="e">
        <f>ROUND(#REF!/(D255+E255)*'W8'!D255*'W8'!D$247+#REF!/(D255+E255)*'W8'!E255*'W8'!E$247,0)</f>
        <v>#REF!</v>
      </c>
      <c r="E308" s="300"/>
      <c r="F308" s="302" t="e">
        <f>ROUND(#REF!/(F255+G255)*'W8'!F255*'W8'!F$247+#REF!/(F255+G255)*'W8'!G255*'W8'!G$247,0)</f>
        <v>#REF!</v>
      </c>
      <c r="G308" s="300"/>
      <c r="H308" s="302" t="e">
        <f>ROUND(#REF!/(H255+I255)*'W8'!H255*'W8'!H$247+#REF!/(H255+I255)*'W8'!I255*'W8'!I$247,0)</f>
        <v>#REF!</v>
      </c>
      <c r="I308" s="300"/>
      <c r="J308" s="302" t="e">
        <f>IF(J282=0,"",ROUND(#REF!/(J255+K255)*'W8'!J255*'W8'!J$247+#REF!/(J255+K255)*'W8'!K255*'W8'!K$247,0))</f>
        <v>#REF!</v>
      </c>
      <c r="K308" s="300"/>
    </row>
    <row r="309" spans="1:12" x14ac:dyDescent="0.2">
      <c r="A309" s="82" t="e">
        <f t="shared" si="68"/>
        <v>#REF!</v>
      </c>
      <c r="B309" s="302" t="e">
        <f>IF((B256+C256)&lt;&gt;0,ROUND(#REF!/'W8'!H185*'W8'!B256*'W8'!$B$247+#REF!/'W8'!H185*'W8'!C256*'W8'!$C$247,0),0)</f>
        <v>#REF!</v>
      </c>
      <c r="C309" s="300"/>
      <c r="D309" s="302" t="e">
        <f>ROUND(#REF!/(D256+E256)*'W8'!D256*'W8'!D$247+#REF!/(D256+E256)*'W8'!E256*'W8'!E$247,0)</f>
        <v>#REF!</v>
      </c>
      <c r="E309" s="300"/>
      <c r="F309" s="302" t="e">
        <f>ROUND(#REF!/(F256+G256)*'W8'!F256*'W8'!F$247+#REF!/(F256+G256)*'W8'!G256*'W8'!G$247,0)</f>
        <v>#REF!</v>
      </c>
      <c r="G309" s="300"/>
      <c r="H309" s="302" t="e">
        <f>ROUND(#REF!/(H256+I256)*'W8'!H256*'W8'!H$247+#REF!/(H256+I256)*'W8'!I256*'W8'!I$247,0)</f>
        <v>#REF!</v>
      </c>
      <c r="I309" s="300"/>
      <c r="J309" s="302" t="e">
        <f>IF(J283=0,"",ROUND(#REF!/(J256+K256)*'W8'!J256*'W8'!J$247+#REF!/(J256+K256)*'W8'!K256*'W8'!K$247,0))</f>
        <v>#REF!</v>
      </c>
      <c r="K309" s="300"/>
    </row>
    <row r="310" spans="1:12" x14ac:dyDescent="0.2">
      <c r="A310" s="82" t="e">
        <f t="shared" si="68"/>
        <v>#REF!</v>
      </c>
      <c r="B310" s="302" t="e">
        <f>IF((B257+C257)&lt;&gt;0,ROUND(#REF!/'W8'!H186*'W8'!B257*'W8'!$B$247+#REF!/'W8'!H186*'W8'!C257*'W8'!$C$247,0),0)</f>
        <v>#REF!</v>
      </c>
      <c r="C310" s="300"/>
      <c r="D310" s="302" t="e">
        <f>ROUND(#REF!/(D257+E257)*'W8'!D257*'W8'!D$247+#REF!/(D257+E257)*'W8'!E257*'W8'!E$247,0)</f>
        <v>#REF!</v>
      </c>
      <c r="E310" s="300"/>
      <c r="F310" s="302" t="e">
        <f>ROUND(#REF!/(F257+G257)*'W8'!F257*'W8'!F$247+#REF!/(F257+G257)*'W8'!G257*'W8'!G$247,0)</f>
        <v>#REF!</v>
      </c>
      <c r="G310" s="300"/>
      <c r="H310" s="302" t="e">
        <f>ROUND(#REF!/(H257+I257)*'W8'!H257*'W8'!H$247+#REF!/(H257+I257)*'W8'!I257*'W8'!I$247,0)</f>
        <v>#REF!</v>
      </c>
      <c r="I310" s="300"/>
      <c r="J310" s="302" t="e">
        <f>IF(J284=0,"",ROUND(#REF!/(J257+K257)*'W8'!J257*'W8'!J$247+#REF!/(J257+K257)*'W8'!K257*'W8'!K$247,0))</f>
        <v>#REF!</v>
      </c>
      <c r="K310" s="300"/>
    </row>
    <row r="311" spans="1:12" x14ac:dyDescent="0.2">
      <c r="A311" s="82" t="e">
        <f t="shared" si="68"/>
        <v>#REF!</v>
      </c>
      <c r="B311" s="302" t="e">
        <f>IF((B258+C258)&lt;&gt;0,ROUND(#REF!/'W8'!H187*'W8'!B258*'W8'!$B$247+#REF!/'W8'!H187*'W8'!C258*'W8'!$C$247,0),0)</f>
        <v>#REF!</v>
      </c>
      <c r="C311" s="300"/>
      <c r="D311" s="302" t="e">
        <f>ROUND(#REF!/(D258+E258)*'W8'!D258*'W8'!D$247+#REF!/(D258+E258)*'W8'!E258*'W8'!E$247,0)</f>
        <v>#REF!</v>
      </c>
      <c r="E311" s="300"/>
      <c r="F311" s="302" t="e">
        <f>ROUND(#REF!/(F258+G258)*'W8'!F258*'W8'!F$247+#REF!/(F258+G258)*'W8'!G258*'W8'!G$247,0)</f>
        <v>#REF!</v>
      </c>
      <c r="G311" s="300"/>
      <c r="H311" s="302" t="e">
        <f>ROUND(#REF!/(H258+I258)*'W8'!H258*'W8'!H$247+#REF!/(H258+I258)*'W8'!I258*'W8'!I$247,0)</f>
        <v>#REF!</v>
      </c>
      <c r="I311" s="300"/>
      <c r="J311" s="302" t="e">
        <f>IF(J285=0,"",ROUND(#REF!/(J258+K258)*'W8'!J258*'W8'!J$247+#REF!/(J258+K258)*'W8'!K258*'W8'!K$247,0))</f>
        <v>#REF!</v>
      </c>
      <c r="K311" s="300"/>
    </row>
    <row r="312" spans="1:12" x14ac:dyDescent="0.2">
      <c r="A312" s="82" t="e">
        <f t="shared" si="68"/>
        <v>#REF!</v>
      </c>
      <c r="B312" s="302" t="e">
        <f>IF((B259+C259)&lt;&gt;0,ROUND(#REF!/'W8'!H188*'W8'!B259*'W8'!$B$247+#REF!/'W8'!H188*'W8'!C259*'W8'!$C$247,0),0)</f>
        <v>#REF!</v>
      </c>
      <c r="C312" s="300"/>
      <c r="D312" s="302" t="e">
        <f>ROUND(#REF!/(D259+E259)*'W8'!D259*'W8'!D$247+#REF!/(D259+E259)*'W8'!E259*'W8'!E$247,0)</f>
        <v>#REF!</v>
      </c>
      <c r="E312" s="300"/>
      <c r="F312" s="302" t="e">
        <f>ROUND(#REF!/(F259+G259)*'W8'!F259*'W8'!F$247+#REF!/(F259+G259)*'W8'!G259*'W8'!G$247,0)</f>
        <v>#REF!</v>
      </c>
      <c r="G312" s="300"/>
      <c r="H312" s="302" t="e">
        <f>ROUND(#REF!/(H259+I259)*'W8'!H259*'W8'!H$247+#REF!/(H259+I259)*'W8'!I259*'W8'!I$247,0)</f>
        <v>#REF!</v>
      </c>
      <c r="I312" s="300"/>
      <c r="J312" s="302" t="e">
        <f>IF(J286=0,"",ROUND(#REF!/(J259+K259)*'W8'!J259*'W8'!J$247+#REF!/(J259+K259)*'W8'!K259*'W8'!K$247,0))</f>
        <v>#REF!</v>
      </c>
      <c r="K312" s="300"/>
    </row>
    <row r="313" spans="1:12" x14ac:dyDescent="0.2">
      <c r="A313" s="82" t="e">
        <f t="shared" si="68"/>
        <v>#REF!</v>
      </c>
      <c r="B313" s="302" t="e">
        <f>IF((B260+C260)&lt;&gt;0,ROUND(#REF!/'W8'!H189*'W8'!B260*'W8'!$B$247+#REF!/'W8'!H189*'W8'!C260*'W8'!$C$247,0),0)</f>
        <v>#REF!</v>
      </c>
      <c r="C313" s="300"/>
      <c r="D313" s="302" t="e">
        <f>ROUND(#REF!/(D260+E260)*'W8'!D260*'W8'!D$247+#REF!/(D260+E260)*'W8'!E260*'W8'!E$247,0)</f>
        <v>#REF!</v>
      </c>
      <c r="E313" s="300"/>
      <c r="F313" s="302" t="e">
        <f>ROUND(#REF!/(F260+G260)*'W8'!F260*'W8'!F$247+#REF!/(F260+G260)*'W8'!G260*'W8'!G$247,0)</f>
        <v>#REF!</v>
      </c>
      <c r="G313" s="300"/>
      <c r="H313" s="302" t="e">
        <f>ROUND(#REF!/(H260+I260)*'W8'!H260*'W8'!H$247+#REF!/(H260+I260)*'W8'!I260*'W8'!I$247,0)</f>
        <v>#REF!</v>
      </c>
      <c r="I313" s="300"/>
      <c r="J313" s="302" t="e">
        <f>IF(J287=0,"",ROUND(#REF!/(J260+K260)*'W8'!J260*'W8'!J$247+#REF!/(J260+K260)*'W8'!K260*'W8'!K$247,0))</f>
        <v>#REF!</v>
      </c>
      <c r="K313" s="300"/>
    </row>
    <row r="314" spans="1:12" x14ac:dyDescent="0.2">
      <c r="A314" s="82" t="e">
        <f t="shared" si="68"/>
        <v>#REF!</v>
      </c>
      <c r="B314" s="302" t="e">
        <f>IF((B261+C261)&lt;&gt;0,ROUND(#REF!/'W8'!H190*'W8'!B261*'W8'!$B$247+#REF!/'W8'!H190*'W8'!C261*'W8'!$C$247,0),0)</f>
        <v>#REF!</v>
      </c>
      <c r="C314" s="300"/>
      <c r="D314" s="302" t="e">
        <f>ROUND(#REF!/(D261+E261)*'W8'!D261*'W8'!D$247+#REF!/(D261+E261)*'W8'!E261*'W8'!E$247,0)</f>
        <v>#REF!</v>
      </c>
      <c r="E314" s="300"/>
      <c r="F314" s="302" t="e">
        <f>ROUND(#REF!/(F261+G261)*'W8'!F261*'W8'!F$247+#REF!/(F261+G261)*'W8'!G261*'W8'!G$247,0)</f>
        <v>#REF!</v>
      </c>
      <c r="G314" s="300"/>
      <c r="H314" s="302" t="e">
        <f>ROUND(#REF!/(H261+I261)*'W8'!H261*'W8'!H$247+#REF!/(H261+I261)*'W8'!I261*'W8'!I$247,0)</f>
        <v>#REF!</v>
      </c>
      <c r="I314" s="300"/>
      <c r="J314" s="302" t="e">
        <f>IF(J288=0,"",ROUND(#REF!/(J261+K261)*'W8'!J261*'W8'!J$247+#REF!/(J261+K261)*'W8'!K261*'W8'!K$247,0))</f>
        <v>#REF!</v>
      </c>
      <c r="K314" s="300"/>
    </row>
    <row r="315" spans="1:12" x14ac:dyDescent="0.2">
      <c r="A315" s="82" t="e">
        <f t="shared" si="68"/>
        <v>#REF!</v>
      </c>
      <c r="B315" s="302" t="e">
        <f>IF((B262+C262)&lt;&gt;0,ROUND(#REF!/'W8'!H191*'W8'!B262*'W8'!$B$247+#REF!/'W8'!H191*'W8'!C262*'W8'!$C$247,0),0)</f>
        <v>#REF!</v>
      </c>
      <c r="C315" s="300"/>
      <c r="D315" s="302" t="e">
        <f>ROUND(#REF!/(D262+E262)*'W8'!D262*'W8'!D$247+#REF!/(D262+E262)*'W8'!E262*'W8'!E$247,0)</f>
        <v>#REF!</v>
      </c>
      <c r="E315" s="300"/>
      <c r="F315" s="302" t="e">
        <f>ROUND(#REF!/(F262+G262)*'W8'!F262*'W8'!F$247+#REF!/(F262+G262)*'W8'!G262*'W8'!G$247,0)</f>
        <v>#REF!</v>
      </c>
      <c r="G315" s="300"/>
      <c r="H315" s="302" t="e">
        <f>ROUND(#REF!/(H262+I262)*'W8'!H262*'W8'!H$247+#REF!/(H262+I262)*'W8'!I262*'W8'!I$247,0)</f>
        <v>#REF!</v>
      </c>
      <c r="I315" s="300"/>
      <c r="J315" s="302" t="e">
        <f>IF(J289=0,"",ROUND(#REF!/(J262+K262)*'W8'!J262*'W8'!J$247+#REF!/(J262+K262)*'W8'!K262*'W8'!K$247,0))</f>
        <v>#REF!</v>
      </c>
      <c r="K315" s="300"/>
    </row>
    <row r="316" spans="1:12" x14ac:dyDescent="0.2">
      <c r="A316" s="82" t="e">
        <f t="shared" si="68"/>
        <v>#REF!</v>
      </c>
      <c r="B316" s="302" t="e">
        <f>IF((B263+C263)&lt;&gt;0,ROUND(#REF!/'W8'!H192*'W8'!B263*'W8'!$B$247+#REF!/'W8'!H192*'W8'!C263*'W8'!$C$247,0),0)</f>
        <v>#REF!</v>
      </c>
      <c r="C316" s="300"/>
      <c r="D316" s="302" t="e">
        <f>ROUND(#REF!/(D263+E263)*'W8'!D263*'W8'!D$247+#REF!/(D263+E263)*'W8'!E263*'W8'!E$247,0)</f>
        <v>#REF!</v>
      </c>
      <c r="E316" s="300"/>
      <c r="F316" s="302" t="e">
        <f>ROUND(#REF!/(F263+G263)*'W8'!F263*'W8'!F$247+#REF!/(F263+G263)*'W8'!G263*'W8'!G$247,0)</f>
        <v>#REF!</v>
      </c>
      <c r="G316" s="300"/>
      <c r="H316" s="302" t="e">
        <f>ROUND(#REF!/(H263+I263)*'W8'!H263*'W8'!H$247+#REF!/(H263+I263)*'W8'!I263*'W8'!I$247,0)</f>
        <v>#REF!</v>
      </c>
      <c r="I316" s="300"/>
      <c r="J316" s="302" t="e">
        <f>IF(J290=0,"",ROUND(#REF!/(J263+K263)*'W8'!J263*'W8'!J$247+#REF!/(J263+K263)*'W8'!K263*'W8'!K$247,0))</f>
        <v>#REF!</v>
      </c>
      <c r="K316" s="300"/>
    </row>
    <row r="317" spans="1:12" x14ac:dyDescent="0.2">
      <c r="A317" s="82" t="e">
        <f t="shared" si="68"/>
        <v>#REF!</v>
      </c>
      <c r="B317" s="302" t="e">
        <f>IF((B264+C264)&lt;&gt;0,ROUND(#REF!/'W8'!H193*'W8'!B264*'W8'!$B$247+#REF!/'W8'!H193*'W8'!C264*'W8'!$C$247,0),0)</f>
        <v>#REF!</v>
      </c>
      <c r="C317" s="300"/>
      <c r="D317" s="302" t="e">
        <f>ROUND(#REF!/(D264+E264)*'W8'!D264*'W8'!D$247+#REF!/(D264+E264)*'W8'!E264*'W8'!E$247,0)</f>
        <v>#REF!</v>
      </c>
      <c r="E317" s="300"/>
      <c r="F317" s="302" t="e">
        <f>ROUND(#REF!/(F264+G264)*'W8'!F264*'W8'!F$247+#REF!/(F264+G264)*'W8'!G264*'W8'!G$247,0)</f>
        <v>#REF!</v>
      </c>
      <c r="G317" s="300"/>
      <c r="H317" s="302" t="e">
        <f>ROUND(#REF!/(H264+I264)*'W8'!H264*'W8'!H$247+#REF!/(H264+I264)*'W8'!I264*'W8'!I$247,0)</f>
        <v>#REF!</v>
      </c>
      <c r="I317" s="300"/>
      <c r="J317" s="302" t="e">
        <f>IF(J291=0,"",ROUND(#REF!/(J264+K264)*'W8'!J264*'W8'!J$247+#REF!/(J264+K264)*'W8'!K264*'W8'!K$247,0))</f>
        <v>#REF!</v>
      </c>
      <c r="K317" s="300"/>
    </row>
    <row r="318" spans="1:12" x14ac:dyDescent="0.2">
      <c r="A318" s="82" t="e">
        <f t="shared" si="68"/>
        <v>#REF!</v>
      </c>
      <c r="B318" s="302" t="e">
        <f>IF((B265+C265)&lt;&gt;0,ROUND(#REF!/'W8'!H194*'W8'!B265*'W8'!$B$247+#REF!/'W8'!H194*'W8'!C265*'W8'!$C$247,0),0)</f>
        <v>#REF!</v>
      </c>
      <c r="C318" s="300"/>
      <c r="D318" s="302" t="e">
        <f>ROUND(#REF!/(D265+E265)*'W8'!D265*'W8'!D$247+#REF!/(D265+E265)*'W8'!E265*'W8'!E$247,0)</f>
        <v>#REF!</v>
      </c>
      <c r="E318" s="300"/>
      <c r="F318" s="302" t="e">
        <f>ROUND(#REF!/(F265+G265)*'W8'!F265*'W8'!F$247+#REF!/(F265+G265)*'W8'!G265*'W8'!G$247,0)</f>
        <v>#REF!</v>
      </c>
      <c r="G318" s="300"/>
      <c r="H318" s="302" t="e">
        <f>ROUND(#REF!/(H265+I265)*'W8'!H265*'W8'!H$247+#REF!/(H265+I265)*'W8'!I265*'W8'!I$247,0)</f>
        <v>#REF!</v>
      </c>
      <c r="I318" s="300"/>
      <c r="J318" s="302" t="e">
        <f>IF(J292=0,"",ROUND(#REF!/(J265+K265)*'W8'!J265*'W8'!J$247+#REF!/(J265+K265)*'W8'!K265*'W8'!K$247,0))</f>
        <v>#REF!</v>
      </c>
      <c r="K318" s="300"/>
    </row>
    <row r="319" spans="1:12" x14ac:dyDescent="0.2">
      <c r="A319" s="82" t="e">
        <f t="shared" si="68"/>
        <v>#REF!</v>
      </c>
      <c r="B319" s="302" t="e">
        <f>IF((B266+C266)&lt;&gt;0,ROUND(#REF!/'W8'!H195*'W8'!B266*'W8'!$B$247+#REF!/'W8'!H195*'W8'!C266*'W8'!$C$247,0),0)</f>
        <v>#REF!</v>
      </c>
      <c r="C319" s="300"/>
      <c r="D319" s="302" t="e">
        <f>ROUND(#REF!/(D266+E266)*'W8'!D266*'W8'!D$247+#REF!/(D266+E266)*'W8'!E266*'W8'!E$247,0)</f>
        <v>#REF!</v>
      </c>
      <c r="E319" s="300"/>
      <c r="F319" s="302" t="e">
        <f>ROUND(#REF!/(F266+G266)*'W8'!F266*'W8'!F$247+#REF!/(F266+G266)*'W8'!G266*'W8'!G$247,0)</f>
        <v>#REF!</v>
      </c>
      <c r="G319" s="300"/>
      <c r="H319" s="302" t="e">
        <f>ROUND(#REF!/(H266+I266)*'W8'!H266*'W8'!H$247+#REF!/(H266+I266)*'W8'!I266*'W8'!I$247,0)</f>
        <v>#REF!</v>
      </c>
      <c r="I319" s="300"/>
      <c r="J319" s="302" t="e">
        <f>IF(J293=0,"",ROUND(#REF!/(J266+K266)*'W8'!J266*'W8'!J$247+#REF!/(J266+K266)*'W8'!K266*'W8'!K$247,0))</f>
        <v>#REF!</v>
      </c>
      <c r="K319" s="300"/>
    </row>
    <row r="320" spans="1:12" x14ac:dyDescent="0.2">
      <c r="A320" s="82" t="e">
        <f t="shared" si="68"/>
        <v>#REF!</v>
      </c>
      <c r="B320" s="302" t="e">
        <f>IF((B267+C267)&lt;&gt;0,ROUND(#REF!/'W8'!H196*'W8'!B267*'W8'!$B$247+#REF!/'W8'!H196*'W8'!C267*'W8'!$C$247,0),0)</f>
        <v>#REF!</v>
      </c>
      <c r="C320" s="300"/>
      <c r="D320" s="302" t="e">
        <f>ROUND(#REF!/(D267+E267)*'W8'!D267*'W8'!D$247+#REF!/(D267+E267)*'W8'!E267*'W8'!E$247,0)</f>
        <v>#REF!</v>
      </c>
      <c r="E320" s="300"/>
      <c r="F320" s="302" t="e">
        <f>ROUND(#REF!/(F267+G267)*'W8'!F267*'W8'!F$247+#REF!/(F267+G267)*'W8'!G267*'W8'!G$247,0)</f>
        <v>#REF!</v>
      </c>
      <c r="G320" s="300"/>
      <c r="H320" s="302" t="e">
        <f>ROUND(#REF!/(H267+I267)*'W8'!H267*'W8'!H$247+#REF!/(H267+I267)*'W8'!I267*'W8'!I$247,0)</f>
        <v>#REF!</v>
      </c>
      <c r="I320" s="300"/>
      <c r="J320" s="302" t="e">
        <f>IF(J294=0,"",ROUND(#REF!/(J267+K267)*'W8'!J267*'W8'!J$247+#REF!/(J267+K267)*'W8'!K267*'W8'!K$247,0))</f>
        <v>#REF!</v>
      </c>
      <c r="K320" s="300"/>
    </row>
    <row r="321" spans="1:11" x14ac:dyDescent="0.2">
      <c r="A321" s="82" t="e">
        <f t="shared" si="68"/>
        <v>#REF!</v>
      </c>
      <c r="B321" s="302" t="e">
        <f>IF((B268+C268)&lt;&gt;0,ROUND(#REF!/'W8'!H197*'W8'!B268*'W8'!$B$247+#REF!/'W8'!H197*'W8'!C268*'W8'!$C$247,0),0)</f>
        <v>#REF!</v>
      </c>
      <c r="C321" s="300"/>
      <c r="D321" s="302" t="e">
        <f>ROUND(#REF!/(D268+E268)*'W8'!D268*'W8'!D$247+#REF!/(D268+E268)*'W8'!E268*'W8'!E$247,0)</f>
        <v>#REF!</v>
      </c>
      <c r="E321" s="300"/>
      <c r="F321" s="302" t="e">
        <f>ROUND(#REF!/(F268+G268)*'W8'!F268*'W8'!F$247+#REF!/(F268+G268)*'W8'!G268*'W8'!G$247,0)</f>
        <v>#REF!</v>
      </c>
      <c r="G321" s="300"/>
      <c r="H321" s="302" t="e">
        <f>ROUND(#REF!/(H268+I268)*'W8'!H268*'W8'!H$247+#REF!/(H268+I268)*'W8'!I268*'W8'!I$247,0)</f>
        <v>#REF!</v>
      </c>
      <c r="I321" s="300"/>
      <c r="J321" s="302" t="e">
        <f>IF(J295=0,"",ROUND(#REF!/(J268+K268)*'W8'!J268*'W8'!J$247+#REF!/(J268+K268)*'W8'!K268*'W8'!K$247,0))</f>
        <v>#REF!</v>
      </c>
      <c r="K321" s="300"/>
    </row>
    <row r="322" spans="1:11" x14ac:dyDescent="0.2">
      <c r="A322" s="82" t="e">
        <f t="shared" si="68"/>
        <v>#REF!</v>
      </c>
      <c r="B322" s="302" t="e">
        <f>IF((B269+C269)&lt;&gt;0,ROUND(#REF!/'W8'!H198*'W8'!B269*'W8'!$B$247+#REF!/'W8'!H198*'W8'!C269*'W8'!$C$247,0),0)</f>
        <v>#REF!</v>
      </c>
      <c r="C322" s="300"/>
      <c r="D322" s="302" t="e">
        <f>ROUND(#REF!/(D269+E269)*'W8'!D269*'W8'!D$247+#REF!/(D269+E269)*'W8'!E269*'W8'!E$247,0)</f>
        <v>#REF!</v>
      </c>
      <c r="E322" s="300"/>
      <c r="F322" s="302" t="e">
        <f>ROUND(#REF!/(F269+G269)*'W8'!F269*'W8'!F$247+#REF!/(F269+G269)*'W8'!G269*'W8'!G$247,0)</f>
        <v>#REF!</v>
      </c>
      <c r="G322" s="300"/>
      <c r="H322" s="302" t="e">
        <f>ROUND(#REF!/(H269+I269)*'W8'!H269*'W8'!H$247+#REF!/(H269+I269)*'W8'!I269*'W8'!I$247,0)</f>
        <v>#REF!</v>
      </c>
      <c r="I322" s="300"/>
      <c r="J322" s="302" t="e">
        <f>IF(J296=0,"",ROUND(#REF!/(J269+K269)*'W8'!J269*'W8'!J$247+#REF!/(J269+K269)*'W8'!K269*'W8'!K$247,0))</f>
        <v>#REF!</v>
      </c>
      <c r="K322" s="300"/>
    </row>
    <row r="323" spans="1:11" x14ac:dyDescent="0.2">
      <c r="A323" s="82" t="e">
        <f t="shared" si="68"/>
        <v>#REF!</v>
      </c>
      <c r="B323" s="302" t="e">
        <f>IF((B270+C270)&lt;&gt;0,ROUND(#REF!/'W8'!H199*'W8'!B270*'W8'!$B$247+#REF!/'W8'!H199*'W8'!C270*'W8'!$C$247,0),0)</f>
        <v>#REF!</v>
      </c>
      <c r="C323" s="300"/>
      <c r="D323" s="302" t="e">
        <f>ROUND(#REF!/(D270+E270)*'W8'!D270*'W8'!D$247+#REF!/(D270+E270)*'W8'!E270*'W8'!E$247,0)</f>
        <v>#REF!</v>
      </c>
      <c r="E323" s="300"/>
      <c r="F323" s="302" t="e">
        <f>ROUND(#REF!/(F270+G270)*'W8'!F270*'W8'!F$247+#REF!/(F270+G270)*'W8'!G270*'W8'!G$247,0)</f>
        <v>#REF!</v>
      </c>
      <c r="G323" s="300"/>
      <c r="H323" s="302" t="e">
        <f>ROUND(#REF!/(H270+I270)*'W8'!H270*'W8'!H$247+#REF!/(H270+I270)*'W8'!I270*'W8'!I$247,0)</f>
        <v>#REF!</v>
      </c>
      <c r="I323" s="300"/>
      <c r="J323" s="302" t="e">
        <f>IF(J297=0,"",ROUND(#REF!/(J270+K270)*'W8'!J270*'W8'!J$247+#REF!/(J270+K270)*'W8'!K270*'W8'!K$247,0))</f>
        <v>#REF!</v>
      </c>
      <c r="K323" s="300"/>
    </row>
    <row r="324" spans="1:11" x14ac:dyDescent="0.2">
      <c r="A324" s="82" t="e">
        <f t="shared" si="68"/>
        <v>#REF!</v>
      </c>
      <c r="B324" s="302" t="e">
        <f>IF((B271+C271)&lt;&gt;0,ROUND(#REF!/'W8'!H200*'W8'!B271*'W8'!$B$247+#REF!/'W8'!H200*'W8'!C271*'W8'!$C$247,0),0)</f>
        <v>#REF!</v>
      </c>
      <c r="C324" s="300"/>
      <c r="D324" s="302" t="e">
        <f>ROUND(#REF!/(D271+E271)*'W8'!D271*'W8'!D$247+#REF!/(D271+E271)*'W8'!E271*'W8'!E$247,0)</f>
        <v>#REF!</v>
      </c>
      <c r="E324" s="300"/>
      <c r="F324" s="302" t="e">
        <f>ROUND(#REF!/(F271+G271)*'W8'!F271*'W8'!F$247+#REF!/(F271+G271)*'W8'!G271*'W8'!G$247,0)</f>
        <v>#REF!</v>
      </c>
      <c r="G324" s="300"/>
      <c r="H324" s="302" t="e">
        <f>ROUND(#REF!/(H271+I271)*'W8'!H271*'W8'!H$247+#REF!/(H271+I271)*'W8'!I271*'W8'!I$247,0)</f>
        <v>#REF!</v>
      </c>
      <c r="I324" s="300"/>
      <c r="J324" s="302" t="e">
        <f>IF(J298=0,"",ROUND(#REF!/(J271+K271)*'W8'!J271*'W8'!J$247+#REF!/(J271+K271)*'W8'!K271*'W8'!K$247,0))</f>
        <v>#REF!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 t="e">
        <f>#REF!</f>
        <v>#REF!</v>
      </c>
      <c r="B328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28" s="300"/>
      <c r="D328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28" s="300"/>
      <c r="F328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28" s="300"/>
      <c r="H328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28" s="300"/>
      <c r="J328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28" s="300"/>
    </row>
    <row r="329" spans="1:11" x14ac:dyDescent="0.2">
      <c r="A329" s="82" t="e">
        <f>#REF!</f>
        <v>#REF!</v>
      </c>
      <c r="B329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29" s="300"/>
      <c r="D329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29" s="300"/>
      <c r="F329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29" s="300"/>
      <c r="H329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29" s="300"/>
      <c r="J329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29" s="300"/>
    </row>
    <row r="330" spans="1:11" x14ac:dyDescent="0.2">
      <c r="A330" s="82" t="e">
        <f>#REF!</f>
        <v>#REF!</v>
      </c>
      <c r="B330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0" s="300"/>
      <c r="D330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0" s="300"/>
      <c r="F330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0" s="300"/>
      <c r="H330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0" s="300"/>
      <c r="J330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0" s="300"/>
    </row>
    <row r="331" spans="1:11" x14ac:dyDescent="0.2">
      <c r="A331" s="82" t="e">
        <f>#REF!</f>
        <v>#REF!</v>
      </c>
      <c r="B331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1" s="300"/>
      <c r="D331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1" s="300"/>
      <c r="F331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1" s="300"/>
      <c r="H331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1" s="300"/>
      <c r="J331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1" s="300"/>
    </row>
    <row r="332" spans="1:11" x14ac:dyDescent="0.2">
      <c r="A332" s="82" t="e">
        <f>#REF!</f>
        <v>#REF!</v>
      </c>
      <c r="B332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2" s="300"/>
      <c r="D332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2" s="300"/>
      <c r="F332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2" s="300"/>
      <c r="H332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2" s="300"/>
      <c r="J332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2" s="300"/>
    </row>
    <row r="333" spans="1:11" x14ac:dyDescent="0.2">
      <c r="A333" s="82" t="e">
        <f>#REF!</f>
        <v>#REF!</v>
      </c>
      <c r="B333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3" s="300"/>
      <c r="D333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3" s="300"/>
      <c r="F333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3" s="300"/>
      <c r="H333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3" s="300"/>
      <c r="J333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3" s="300"/>
    </row>
    <row r="334" spans="1:11" x14ac:dyDescent="0.2">
      <c r="A334" s="82" t="e">
        <f>#REF!</f>
        <v>#REF!</v>
      </c>
      <c r="B334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4" s="300"/>
      <c r="D334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4" s="300"/>
      <c r="F334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4" s="300"/>
      <c r="H334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4" s="300"/>
      <c r="J334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4" s="300"/>
    </row>
    <row r="335" spans="1:11" x14ac:dyDescent="0.2">
      <c r="A335" s="82" t="e">
        <f>#REF!</f>
        <v>#REF!</v>
      </c>
      <c r="B335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5" s="300"/>
      <c r="D335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5" s="300"/>
      <c r="F335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5" s="300"/>
      <c r="H335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5" s="300"/>
      <c r="J335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5" s="300"/>
    </row>
    <row r="336" spans="1:11" x14ac:dyDescent="0.2">
      <c r="A336" s="82" t="e">
        <f>#REF!</f>
        <v>#REF!</v>
      </c>
      <c r="B336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6" s="300"/>
      <c r="D336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6" s="300"/>
      <c r="F336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6" s="300"/>
      <c r="H336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6" s="300"/>
      <c r="J336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6" s="300"/>
    </row>
    <row r="337" spans="1:11" x14ac:dyDescent="0.2">
      <c r="A337" s="82" t="e">
        <f>#REF!</f>
        <v>#REF!</v>
      </c>
      <c r="B337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7" s="300"/>
      <c r="D337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7" s="300"/>
      <c r="F337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7" s="300"/>
      <c r="H337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7" s="300"/>
      <c r="J337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7" s="300"/>
    </row>
    <row r="338" spans="1:11" x14ac:dyDescent="0.2">
      <c r="A338" s="82" t="e">
        <f>#REF!</f>
        <v>#REF!</v>
      </c>
      <c r="B338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8" s="300"/>
      <c r="D338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8" s="300"/>
      <c r="F338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8" s="300"/>
      <c r="H338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8" s="300"/>
      <c r="J338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8" s="300"/>
    </row>
    <row r="339" spans="1:11" x14ac:dyDescent="0.2">
      <c r="A339" s="82" t="e">
        <f>#REF!</f>
        <v>#REF!</v>
      </c>
      <c r="B339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39" s="300"/>
      <c r="D339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39" s="300"/>
      <c r="F339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39" s="300"/>
      <c r="H339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39" s="300"/>
      <c r="J339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39" s="300"/>
    </row>
    <row r="340" spans="1:11" x14ac:dyDescent="0.2">
      <c r="A340" s="82" t="e">
        <f>#REF!</f>
        <v>#REF!</v>
      </c>
      <c r="B340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0" s="300"/>
      <c r="D340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0" s="300"/>
      <c r="F340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0" s="300"/>
      <c r="H340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0" s="300"/>
      <c r="J340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0" s="300"/>
    </row>
    <row r="341" spans="1:11" x14ac:dyDescent="0.2">
      <c r="A341" s="82" t="e">
        <f>#REF!</f>
        <v>#REF!</v>
      </c>
      <c r="B341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1" s="300"/>
      <c r="D341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1" s="300"/>
      <c r="F341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1" s="300"/>
      <c r="H341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1" s="300"/>
      <c r="J341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1" s="300"/>
    </row>
    <row r="342" spans="1:11" x14ac:dyDescent="0.2">
      <c r="A342" s="82" t="e">
        <f>#REF!</f>
        <v>#REF!</v>
      </c>
      <c r="B342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2" s="300"/>
      <c r="D342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2" s="300"/>
      <c r="F342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2" s="300"/>
      <c r="H342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2" s="300"/>
      <c r="J342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2" s="300"/>
    </row>
    <row r="343" spans="1:11" x14ac:dyDescent="0.2">
      <c r="A343" s="82" t="e">
        <f>#REF!</f>
        <v>#REF!</v>
      </c>
      <c r="B343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3" s="300"/>
      <c r="D343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3" s="300"/>
      <c r="F343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3" s="300"/>
      <c r="H343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3" s="300"/>
      <c r="J343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3" s="300"/>
    </row>
    <row r="344" spans="1:11" x14ac:dyDescent="0.2">
      <c r="A344" s="82" t="e">
        <f>#REF!</f>
        <v>#REF!</v>
      </c>
      <c r="B344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4" s="300"/>
      <c r="D344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4" s="300"/>
      <c r="F344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4" s="300"/>
      <c r="H344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4" s="300"/>
      <c r="J344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4" s="300"/>
    </row>
    <row r="345" spans="1:11" x14ac:dyDescent="0.2">
      <c r="A345" s="82" t="e">
        <f>#REF!</f>
        <v>#REF!</v>
      </c>
      <c r="B345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5" s="300"/>
      <c r="D345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5" s="300"/>
      <c r="F345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5" s="300"/>
      <c r="H345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5" s="300"/>
      <c r="J345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5" s="300"/>
    </row>
    <row r="346" spans="1:11" x14ac:dyDescent="0.2">
      <c r="A346" s="82" t="e">
        <f>#REF!</f>
        <v>#REF!</v>
      </c>
      <c r="B346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6" s="300"/>
      <c r="D346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6" s="300"/>
      <c r="F346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6" s="300"/>
      <c r="H346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6" s="300"/>
      <c r="J346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6" s="300"/>
    </row>
    <row r="347" spans="1:11" x14ac:dyDescent="0.2">
      <c r="A347" s="82" t="e">
        <f>#REF!</f>
        <v>#REF!</v>
      </c>
      <c r="B347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7" s="300"/>
      <c r="D347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7" s="300"/>
      <c r="F347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7" s="300"/>
      <c r="H347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7" s="300"/>
      <c r="J347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7" s="300"/>
    </row>
    <row r="348" spans="1:11" x14ac:dyDescent="0.2">
      <c r="A348" s="82" t="e">
        <f>#REF!</f>
        <v>#REF!</v>
      </c>
      <c r="B348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8" s="300"/>
      <c r="D348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8" s="300"/>
      <c r="F348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8" s="300"/>
      <c r="H348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8" s="300"/>
      <c r="J348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8" s="300"/>
    </row>
    <row r="349" spans="1:11" x14ac:dyDescent="0.2">
      <c r="A349" s="82" t="e">
        <f>#REF!</f>
        <v>#REF!</v>
      </c>
      <c r="B349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49" s="300"/>
      <c r="D349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49" s="300"/>
      <c r="F349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49" s="300"/>
      <c r="H349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49" s="300"/>
      <c r="J349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49" s="300"/>
    </row>
    <row r="350" spans="1:11" x14ac:dyDescent="0.2">
      <c r="A350" s="82" t="e">
        <f>#REF!</f>
        <v>#REF!</v>
      </c>
      <c r="B350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50" s="300"/>
      <c r="D350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50" s="300"/>
      <c r="F350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50" s="300"/>
      <c r="H350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50" s="300"/>
      <c r="J350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50" s="300"/>
    </row>
    <row r="351" spans="1:11" x14ac:dyDescent="0.2">
      <c r="A351" s="82" t="e">
        <f>#REF!</f>
        <v>#REF!</v>
      </c>
      <c r="B351" s="302" t="e">
        <f>IF('W8'!$C$5=0,"",IF(AND(#REF!="Multi",#REF!="FY"),ROUND(((1+#REF!)^'W8'!$B$20*'W8'!$C$9+(1+#REF!)^('W8'!$B$20+1)*'W8'!$C$10)/('W8'!$C$5)*#REF!,0),(IF(AND(#REF!="Multi",#REF!="PY"),ROUND(#REF!/('W8'!$C$5)*'W8'!$C$5,0),(IF(AND(#REF!&lt;&gt;"Multi",#REF!="FY"),ROUND(((1+#REF!)^'W8'!$B$20*'W8'!$C$9+(1+#REF!)^('W8'!$B$20+1)*'W8'!$C$10)/'W8'!$C$5*#REF!,0),ROUND(#REF!/'W8'!$C$5*'W8'!$C$5,0)))))))</f>
        <v>#REF!</v>
      </c>
      <c r="C351" s="300"/>
      <c r="D351" s="302" t="e">
        <f>IF('W8'!$D$5=0,"",IF($C$4=$D$4,(IF(AND(#REF!="Multi",#REF!="FY"),ROUND(((1+#REF!)^('W8'!$B$20)*'W8'!$D$9+(1+#REF!)^('W8'!$B$20+1)*'W8'!$D$10)/'W8'!$D$5*#REF!,0),(IF(AND(#REF!="Multi",#REF!="PY"),ROUND(#REF!*(1+#REF!)/'W8'!$D$5*'W8'!$D$5,0),(IF(AND(#REF!&lt;&gt;"Multi",#REF!="FY"),ROUND(((1+#REF!)^('W8'!$B$20)*'W8'!$D$9+(1+#REF!)^('W8'!$B$20+1)*'W8'!$D$10)/'W8'!$D$5*#REF!,0),ROUND(#REF!*(1+#REF!)/'W8'!$D$5*'W8'!$D$5,0))))))),(IF(AND(#REF!="Multi",#REF!="FY"),ROUND(((1+#REF!)^('W8'!$B$20+1)*'W8'!$D$9+(1+#REF!)^('W8'!$B$20+2)*'W8'!$D$10)/'W8'!$D$5*#REF!,0),(IF(AND(#REF!="Multi",#REF!="PY"),ROUND(#REF!*(1+#REF!)/'W8'!$D$5*'W8'!$D$5,0),(IF(AND(#REF!&lt;&gt;"Multi",#REF!="FY"),ROUND(((1+#REF!)^('W8'!$B$20+1)*'W8'!$D$9+(1+#REF!)^('W8'!$B$20+2)*'W8'!$D$10)/'W8'!$D$5*#REF!,0),ROUND(#REF!*(1+#REF!)/'W8'!$D$5*'W8'!$D$5,0)))))))))</f>
        <v>#REF!</v>
      </c>
      <c r="E351" s="300"/>
      <c r="F351" s="302" t="e">
        <f>IF('W8'!$E$5=0,"",IF($C$4=$D$4,(IF(AND(#REF!="Multi",#REF!="FY"),ROUND(((1+#REF!)^('W8'!$B$20+1)*'W8'!$E$9+(1+#REF!)^('W8'!$B$20+3)*'W8'!$E$10)/'W8'!$E$5*#REF!,0),(IF(AND(#REF!="Multi",#REF!="PY"),ROUND(#REF!*((1+#REF!)^2)/'W8'!$E$5*'W8'!$E$5,0),(IF(AND(#REF!&lt;&gt;"Multi",#REF!="FY"),ROUND(((1+#REF!)^('W8'!$B$20+1)*'W8'!$E$9+(1+#REF!)^('W8'!$B$20+2)*'W8'!$E$10)/'W8'!$E$5*#REF!,0),ROUND(#REF!*((1+#REF!)^2)/'W8'!$E$5*'W8'!$E$5,0))))))),(IF(AND(#REF!="Multi",#REF!="FY"),ROUND(((1+#REF!)^('W8'!$B$20+2)*'W8'!$E$9+(1+#REF!)^('W8'!$B$20+3)*'W8'!$E$10)/'W8'!$E$5*#REF!,0),(IF(AND(#REF!="Multi",#REF!="PY"),ROUND(#REF!*((1+#REF!)^2)/'W8'!$E$5*'W8'!$E$5,0),(IF(AND(#REF!&lt;&gt;"Multi",#REF!="FY"),ROUND(((1+#REF!)^('W8'!$B$20+2)*'W8'!$E$9+(1+#REF!)^('W8'!$B$20+3)*'W8'!$E$10)/'W8'!$E$5*#REF!,0),ROUND(#REF!*((1+#REF!)^2)/'W8'!$E$5*'W8'!$E$5,0)))))))))</f>
        <v>#REF!</v>
      </c>
      <c r="G351" s="300"/>
      <c r="H351" s="302" t="e">
        <f>IF('W8'!$F$5=0,"",IF($C$4=$D$4,(IF(AND(#REF!="Multi",#REF!="FY"),ROUND(((1+#REF!)^('W8'!$B$20+2)*'W8'!$F$9+(1+#REF!)^('W8'!$B$20+3)*'W8'!$F$10)/'W8'!$F$5*#REF!,0),(IF(AND(#REF!="Multi",#REF!="PY"),ROUND(#REF!*((1+#REF!)^3)/'W8'!$F$5*'W8'!$F$5,0),(IF(AND(#REF!&lt;&gt;"Multi",#REF!="FY"),ROUND(((1+#REF!)^('W8'!$B$20+2)*'W8'!$F$9+(1+#REF!)^('W8'!$B$20+3)*'W8'!$F$10)/'W8'!$F$5*#REF!,0),ROUND(#REF!*((1+#REF!)^3)/'W8'!$F$5*'W8'!$F$5,0))))))),(IF(AND(#REF!="Multi",#REF!="FY"),ROUND(((1+#REF!)^('W8'!$B$20+3)*'W8'!$F$9+(1+#REF!)^('W8'!$B$20+4)*'W8'!$F$10)/'W8'!$F$5*#REF!,0),(IF(AND(#REF!="Multi",#REF!="PY"),ROUND(#REF!*((1+#REF!)^3)/'W8'!$F$5*'W8'!$F$5,0),(IF(AND(#REF!&lt;&gt;"Multi",#REF!="FY"),ROUND(((1+#REF!)^('W8'!$B$20+3)*'W8'!$F$9+(1+#REF!)^('W8'!$B$20+4)*'W8'!$F$10)/'W8'!$F$5*#REF!,0),ROUND(#REF!*((1+#REF!)^3)/'W8'!$F$5*'W8'!$F$5,0)))))))))</f>
        <v>#REF!</v>
      </c>
      <c r="I351" s="300"/>
      <c r="J351" s="302" t="e">
        <f>IF('W8'!$G$5=0,"",IF($C$4=$D$4,(IF(AND(#REF!="Multi",#REF!="FY"),ROUND(((1+#REF!)^('W8'!$B$20+3)*'W8'!$G$9+(1+#REF!)^('W8'!$B$20+4)*'W8'!$G$10)/'W8'!$G$5*#REF!,0),(IF(AND(#REF!="Multi",#REF!="PY"),ROUND(#REF!*((1+#REF!)^4)/'W8'!$G$5*'W8'!$G$5,0),(IF(AND(#REF!&lt;&gt;"Multi",#REF!="FY"),ROUND(((1+#REF!)^('W8'!$B$20+3)*'W8'!$G$9+(1+#REF!)^('W8'!$B$20+4)*'W8'!$G$10)/'W8'!$G$5*#REF!,0),ROUND(#REF!*((1+#REF!)^4)/'W8'!$G$5*'W8'!$G$5,0))))))),(IF(AND(#REF!="Multi",#REF!="FY"),ROUND(((1+#REF!)^('W8'!$B$20+4)*'W8'!$G$9+(1+#REF!)^('W8'!$B$20+5)*'W8'!$G$10)/'W8'!$G$5*#REF!,0),(IF(AND(#REF!="Multi",#REF!="PY"),ROUND(#REF!*((1+#REF!)^4)/'W8'!$G$5*'W8'!$G$5,0),(IF(AND(#REF!&lt;&gt;"Multi",#REF!="FY"),ROUND(((1+#REF!)^('W8'!$B$20+4)*'W8'!$G$9+(1+#REF!)^('W8'!$B$20+5)*'W8'!$G$10)/'W8'!$G$5*#REF!,0),ROUND(#REF!*((1+#REF!)^4)/'W8'!$G$5*'W8'!$G$5,0)))))))))</f>
        <v>#REF!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 t="e">
        <f>IF(B328="","",ROUND(B328/12*9,0))</f>
        <v>#REF!</v>
      </c>
      <c r="C354" s="300"/>
      <c r="D354" s="299" t="e">
        <f>IF(D328="","",ROUND(D328/12*9,0))</f>
        <v>#REF!</v>
      </c>
      <c r="E354" s="300"/>
      <c r="F354" s="299" t="e">
        <f>IF(F328="","",ROUND(F328/12*9,0))</f>
        <v>#REF!</v>
      </c>
      <c r="G354" s="300"/>
      <c r="H354" s="299" t="e">
        <f>IF(H328="","",ROUND(H328/12*9,0))</f>
        <v>#REF!</v>
      </c>
      <c r="I354" s="300"/>
      <c r="J354" s="299" t="e">
        <f>IF(J328="","",ROUND(J328/12*9,0))</f>
        <v>#REF!</v>
      </c>
      <c r="K354" s="300"/>
    </row>
    <row r="355" spans="1:11" x14ac:dyDescent="0.2">
      <c r="A355" s="82"/>
      <c r="B355" s="299" t="e">
        <f t="shared" ref="B355:B377" si="69">IF(B329="","",ROUND(B329/12*9,0))</f>
        <v>#REF!</v>
      </c>
      <c r="C355" s="300"/>
      <c r="D355" s="299" t="e">
        <f t="shared" ref="D355:D377" si="70">IF(D329="","",ROUND(D329/12*9,0))</f>
        <v>#REF!</v>
      </c>
      <c r="E355" s="300"/>
      <c r="F355" s="299" t="e">
        <f t="shared" ref="F355:F377" si="71">IF(F329="","",ROUND(F329/12*9,0))</f>
        <v>#REF!</v>
      </c>
      <c r="G355" s="300"/>
      <c r="H355" s="299" t="e">
        <f t="shared" ref="H355:H377" si="72">IF(H329="","",ROUND(H329/12*9,0))</f>
        <v>#REF!</v>
      </c>
      <c r="I355" s="300"/>
      <c r="J355" s="299" t="e">
        <f t="shared" ref="J355:J377" si="73">IF(J329="","",ROUND(J329/12*9,0))</f>
        <v>#REF!</v>
      </c>
      <c r="K355" s="300"/>
    </row>
    <row r="356" spans="1:11" x14ac:dyDescent="0.2">
      <c r="A356" s="82"/>
      <c r="B356" s="299" t="e">
        <f t="shared" si="69"/>
        <v>#REF!</v>
      </c>
      <c r="C356" s="300"/>
      <c r="D356" s="299" t="e">
        <f t="shared" si="70"/>
        <v>#REF!</v>
      </c>
      <c r="E356" s="300"/>
      <c r="F356" s="299" t="e">
        <f t="shared" si="71"/>
        <v>#REF!</v>
      </c>
      <c r="G356" s="300"/>
      <c r="H356" s="299" t="e">
        <f t="shared" si="72"/>
        <v>#REF!</v>
      </c>
      <c r="I356" s="300"/>
      <c r="J356" s="299" t="e">
        <f t="shared" si="73"/>
        <v>#REF!</v>
      </c>
      <c r="K356" s="300"/>
    </row>
    <row r="357" spans="1:11" x14ac:dyDescent="0.2">
      <c r="A357" s="82"/>
      <c r="B357" s="299" t="e">
        <f t="shared" si="69"/>
        <v>#REF!</v>
      </c>
      <c r="C357" s="300"/>
      <c r="D357" s="299" t="e">
        <f t="shared" si="70"/>
        <v>#REF!</v>
      </c>
      <c r="E357" s="300"/>
      <c r="F357" s="299" t="e">
        <f t="shared" si="71"/>
        <v>#REF!</v>
      </c>
      <c r="G357" s="300"/>
      <c r="H357" s="299" t="e">
        <f t="shared" si="72"/>
        <v>#REF!</v>
      </c>
      <c r="I357" s="300"/>
      <c r="J357" s="299" t="e">
        <f t="shared" si="73"/>
        <v>#REF!</v>
      </c>
      <c r="K357" s="300"/>
    </row>
    <row r="358" spans="1:11" x14ac:dyDescent="0.2">
      <c r="A358" s="82"/>
      <c r="B358" s="299" t="e">
        <f t="shared" si="69"/>
        <v>#REF!</v>
      </c>
      <c r="C358" s="300"/>
      <c r="D358" s="299" t="e">
        <f t="shared" si="70"/>
        <v>#REF!</v>
      </c>
      <c r="E358" s="300"/>
      <c r="F358" s="299" t="e">
        <f t="shared" si="71"/>
        <v>#REF!</v>
      </c>
      <c r="G358" s="300"/>
      <c r="H358" s="299" t="e">
        <f t="shared" si="72"/>
        <v>#REF!</v>
      </c>
      <c r="I358" s="300"/>
      <c r="J358" s="299" t="e">
        <f t="shared" si="73"/>
        <v>#REF!</v>
      </c>
      <c r="K358" s="300"/>
    </row>
    <row r="359" spans="1:11" x14ac:dyDescent="0.2">
      <c r="A359" s="82"/>
      <c r="B359" s="299" t="e">
        <f t="shared" si="69"/>
        <v>#REF!</v>
      </c>
      <c r="C359" s="300"/>
      <c r="D359" s="299" t="e">
        <f t="shared" si="70"/>
        <v>#REF!</v>
      </c>
      <c r="E359" s="300"/>
      <c r="F359" s="299" t="e">
        <f t="shared" si="71"/>
        <v>#REF!</v>
      </c>
      <c r="G359" s="300"/>
      <c r="H359" s="299" t="e">
        <f t="shared" si="72"/>
        <v>#REF!</v>
      </c>
      <c r="I359" s="300"/>
      <c r="J359" s="299" t="e">
        <f t="shared" si="73"/>
        <v>#REF!</v>
      </c>
      <c r="K359" s="300"/>
    </row>
    <row r="360" spans="1:11" x14ac:dyDescent="0.2">
      <c r="A360" s="82"/>
      <c r="B360" s="299" t="e">
        <f t="shared" si="69"/>
        <v>#REF!</v>
      </c>
      <c r="C360" s="300"/>
      <c r="D360" s="299" t="e">
        <f t="shared" si="70"/>
        <v>#REF!</v>
      </c>
      <c r="E360" s="300"/>
      <c r="F360" s="299" t="e">
        <f t="shared" si="71"/>
        <v>#REF!</v>
      </c>
      <c r="G360" s="300"/>
      <c r="H360" s="299" t="e">
        <f t="shared" si="72"/>
        <v>#REF!</v>
      </c>
      <c r="I360" s="300"/>
      <c r="J360" s="299" t="e">
        <f t="shared" si="73"/>
        <v>#REF!</v>
      </c>
      <c r="K360" s="300"/>
    </row>
    <row r="361" spans="1:11" x14ac:dyDescent="0.2">
      <c r="A361" s="82"/>
      <c r="B361" s="299" t="e">
        <f t="shared" si="69"/>
        <v>#REF!</v>
      </c>
      <c r="C361" s="300"/>
      <c r="D361" s="299" t="e">
        <f t="shared" si="70"/>
        <v>#REF!</v>
      </c>
      <c r="E361" s="300"/>
      <c r="F361" s="299" t="e">
        <f t="shared" si="71"/>
        <v>#REF!</v>
      </c>
      <c r="G361" s="300"/>
      <c r="H361" s="299" t="e">
        <f t="shared" si="72"/>
        <v>#REF!</v>
      </c>
      <c r="I361" s="300"/>
      <c r="J361" s="299" t="e">
        <f t="shared" si="73"/>
        <v>#REF!</v>
      </c>
      <c r="K361" s="300"/>
    </row>
    <row r="362" spans="1:11" x14ac:dyDescent="0.2">
      <c r="A362" s="82"/>
      <c r="B362" s="299" t="e">
        <f t="shared" si="69"/>
        <v>#REF!</v>
      </c>
      <c r="C362" s="300"/>
      <c r="D362" s="299" t="e">
        <f t="shared" si="70"/>
        <v>#REF!</v>
      </c>
      <c r="E362" s="300"/>
      <c r="F362" s="299" t="e">
        <f t="shared" si="71"/>
        <v>#REF!</v>
      </c>
      <c r="G362" s="300"/>
      <c r="H362" s="299" t="e">
        <f t="shared" si="72"/>
        <v>#REF!</v>
      </c>
      <c r="I362" s="300"/>
      <c r="J362" s="299" t="e">
        <f t="shared" si="73"/>
        <v>#REF!</v>
      </c>
      <c r="K362" s="300"/>
    </row>
    <row r="363" spans="1:11" x14ac:dyDescent="0.2">
      <c r="A363" s="82"/>
      <c r="B363" s="299" t="e">
        <f t="shared" si="69"/>
        <v>#REF!</v>
      </c>
      <c r="C363" s="300"/>
      <c r="D363" s="299" t="e">
        <f t="shared" si="70"/>
        <v>#REF!</v>
      </c>
      <c r="E363" s="300"/>
      <c r="F363" s="299" t="e">
        <f t="shared" si="71"/>
        <v>#REF!</v>
      </c>
      <c r="G363" s="300"/>
      <c r="H363" s="299" t="e">
        <f t="shared" si="72"/>
        <v>#REF!</v>
      </c>
      <c r="I363" s="300"/>
      <c r="J363" s="299" t="e">
        <f t="shared" si="73"/>
        <v>#REF!</v>
      </c>
      <c r="K363" s="300"/>
    </row>
    <row r="364" spans="1:11" x14ac:dyDescent="0.2">
      <c r="A364" s="82"/>
      <c r="B364" s="299" t="e">
        <f t="shared" si="69"/>
        <v>#REF!</v>
      </c>
      <c r="C364" s="300"/>
      <c r="D364" s="299" t="e">
        <f t="shared" si="70"/>
        <v>#REF!</v>
      </c>
      <c r="E364" s="300"/>
      <c r="F364" s="299" t="e">
        <f t="shared" si="71"/>
        <v>#REF!</v>
      </c>
      <c r="G364" s="300"/>
      <c r="H364" s="299" t="e">
        <f t="shared" si="72"/>
        <v>#REF!</v>
      </c>
      <c r="I364" s="300"/>
      <c r="J364" s="299" t="e">
        <f t="shared" si="73"/>
        <v>#REF!</v>
      </c>
      <c r="K364" s="300"/>
    </row>
    <row r="365" spans="1:11" x14ac:dyDescent="0.2">
      <c r="A365" s="82"/>
      <c r="B365" s="299" t="e">
        <f t="shared" si="69"/>
        <v>#REF!</v>
      </c>
      <c r="C365" s="300"/>
      <c r="D365" s="299" t="e">
        <f t="shared" si="70"/>
        <v>#REF!</v>
      </c>
      <c r="E365" s="300"/>
      <c r="F365" s="299" t="e">
        <f t="shared" si="71"/>
        <v>#REF!</v>
      </c>
      <c r="G365" s="300"/>
      <c r="H365" s="299" t="e">
        <f t="shared" si="72"/>
        <v>#REF!</v>
      </c>
      <c r="I365" s="300"/>
      <c r="J365" s="299" t="e">
        <f t="shared" si="73"/>
        <v>#REF!</v>
      </c>
      <c r="K365" s="300"/>
    </row>
    <row r="366" spans="1:11" x14ac:dyDescent="0.2">
      <c r="A366" s="82"/>
      <c r="B366" s="299" t="e">
        <f t="shared" si="69"/>
        <v>#REF!</v>
      </c>
      <c r="C366" s="300"/>
      <c r="D366" s="299" t="e">
        <f t="shared" si="70"/>
        <v>#REF!</v>
      </c>
      <c r="E366" s="300"/>
      <c r="F366" s="299" t="e">
        <f t="shared" si="71"/>
        <v>#REF!</v>
      </c>
      <c r="G366" s="300"/>
      <c r="H366" s="299" t="e">
        <f t="shared" si="72"/>
        <v>#REF!</v>
      </c>
      <c r="I366" s="300"/>
      <c r="J366" s="299" t="e">
        <f t="shared" si="73"/>
        <v>#REF!</v>
      </c>
      <c r="K366" s="300"/>
    </row>
    <row r="367" spans="1:11" x14ac:dyDescent="0.2">
      <c r="A367" s="82"/>
      <c r="B367" s="299" t="e">
        <f t="shared" si="69"/>
        <v>#REF!</v>
      </c>
      <c r="C367" s="300"/>
      <c r="D367" s="299" t="e">
        <f t="shared" si="70"/>
        <v>#REF!</v>
      </c>
      <c r="E367" s="300"/>
      <c r="F367" s="299" t="e">
        <f t="shared" si="71"/>
        <v>#REF!</v>
      </c>
      <c r="G367" s="300"/>
      <c r="H367" s="299" t="e">
        <f t="shared" si="72"/>
        <v>#REF!</v>
      </c>
      <c r="I367" s="300"/>
      <c r="J367" s="299" t="e">
        <f t="shared" si="73"/>
        <v>#REF!</v>
      </c>
      <c r="K367" s="300"/>
    </row>
    <row r="368" spans="1:11" x14ac:dyDescent="0.2">
      <c r="A368" s="82"/>
      <c r="B368" s="299" t="e">
        <f t="shared" si="69"/>
        <v>#REF!</v>
      </c>
      <c r="C368" s="300"/>
      <c r="D368" s="299" t="e">
        <f t="shared" si="70"/>
        <v>#REF!</v>
      </c>
      <c r="E368" s="300"/>
      <c r="F368" s="299" t="e">
        <f t="shared" si="71"/>
        <v>#REF!</v>
      </c>
      <c r="G368" s="300"/>
      <c r="H368" s="299" t="e">
        <f t="shared" si="72"/>
        <v>#REF!</v>
      </c>
      <c r="I368" s="300"/>
      <c r="J368" s="299" t="e">
        <f t="shared" si="73"/>
        <v>#REF!</v>
      </c>
      <c r="K368" s="300"/>
    </row>
    <row r="369" spans="1:11" x14ac:dyDescent="0.2">
      <c r="A369" s="82"/>
      <c r="B369" s="299" t="e">
        <f t="shared" si="69"/>
        <v>#REF!</v>
      </c>
      <c r="C369" s="300"/>
      <c r="D369" s="299" t="e">
        <f t="shared" si="70"/>
        <v>#REF!</v>
      </c>
      <c r="E369" s="300"/>
      <c r="F369" s="299" t="e">
        <f t="shared" si="71"/>
        <v>#REF!</v>
      </c>
      <c r="G369" s="300"/>
      <c r="H369" s="299" t="e">
        <f t="shared" si="72"/>
        <v>#REF!</v>
      </c>
      <c r="I369" s="300"/>
      <c r="J369" s="299" t="e">
        <f t="shared" si="73"/>
        <v>#REF!</v>
      </c>
      <c r="K369" s="300"/>
    </row>
    <row r="370" spans="1:11" x14ac:dyDescent="0.2">
      <c r="A370" s="82"/>
      <c r="B370" s="299" t="e">
        <f t="shared" si="69"/>
        <v>#REF!</v>
      </c>
      <c r="C370" s="300"/>
      <c r="D370" s="299" t="e">
        <f t="shared" si="70"/>
        <v>#REF!</v>
      </c>
      <c r="E370" s="300"/>
      <c r="F370" s="299" t="e">
        <f t="shared" si="71"/>
        <v>#REF!</v>
      </c>
      <c r="G370" s="300"/>
      <c r="H370" s="299" t="e">
        <f t="shared" si="72"/>
        <v>#REF!</v>
      </c>
      <c r="I370" s="300"/>
      <c r="J370" s="299" t="e">
        <f t="shared" si="73"/>
        <v>#REF!</v>
      </c>
      <c r="K370" s="300"/>
    </row>
    <row r="371" spans="1:11" x14ac:dyDescent="0.2">
      <c r="A371" s="82"/>
      <c r="B371" s="299" t="e">
        <f t="shared" si="69"/>
        <v>#REF!</v>
      </c>
      <c r="C371" s="300"/>
      <c r="D371" s="299" t="e">
        <f t="shared" si="70"/>
        <v>#REF!</v>
      </c>
      <c r="E371" s="300"/>
      <c r="F371" s="299" t="e">
        <f t="shared" si="71"/>
        <v>#REF!</v>
      </c>
      <c r="G371" s="300"/>
      <c r="H371" s="299" t="e">
        <f t="shared" si="72"/>
        <v>#REF!</v>
      </c>
      <c r="I371" s="300"/>
      <c r="J371" s="299" t="e">
        <f t="shared" si="73"/>
        <v>#REF!</v>
      </c>
      <c r="K371" s="300"/>
    </row>
    <row r="372" spans="1:11" x14ac:dyDescent="0.2">
      <c r="A372" s="82"/>
      <c r="B372" s="299" t="e">
        <f t="shared" si="69"/>
        <v>#REF!</v>
      </c>
      <c r="C372" s="300"/>
      <c r="D372" s="299" t="e">
        <f t="shared" si="70"/>
        <v>#REF!</v>
      </c>
      <c r="E372" s="300"/>
      <c r="F372" s="299" t="e">
        <f t="shared" si="71"/>
        <v>#REF!</v>
      </c>
      <c r="G372" s="300"/>
      <c r="H372" s="299" t="e">
        <f t="shared" si="72"/>
        <v>#REF!</v>
      </c>
      <c r="I372" s="300"/>
      <c r="J372" s="299" t="e">
        <f t="shared" si="73"/>
        <v>#REF!</v>
      </c>
      <c r="K372" s="300"/>
    </row>
    <row r="373" spans="1:11" x14ac:dyDescent="0.2">
      <c r="A373" s="82"/>
      <c r="B373" s="299" t="e">
        <f t="shared" si="69"/>
        <v>#REF!</v>
      </c>
      <c r="C373" s="300"/>
      <c r="D373" s="299" t="e">
        <f t="shared" si="70"/>
        <v>#REF!</v>
      </c>
      <c r="E373" s="300"/>
      <c r="F373" s="299" t="e">
        <f t="shared" si="71"/>
        <v>#REF!</v>
      </c>
      <c r="G373" s="300"/>
      <c r="H373" s="299" t="e">
        <f t="shared" si="72"/>
        <v>#REF!</v>
      </c>
      <c r="I373" s="300"/>
      <c r="J373" s="299" t="e">
        <f t="shared" si="73"/>
        <v>#REF!</v>
      </c>
      <c r="K373" s="300"/>
    </row>
    <row r="374" spans="1:11" x14ac:dyDescent="0.2">
      <c r="A374" s="82"/>
      <c r="B374" s="299" t="e">
        <f t="shared" si="69"/>
        <v>#REF!</v>
      </c>
      <c r="C374" s="300"/>
      <c r="D374" s="299" t="e">
        <f t="shared" si="70"/>
        <v>#REF!</v>
      </c>
      <c r="E374" s="300"/>
      <c r="F374" s="299" t="e">
        <f t="shared" si="71"/>
        <v>#REF!</v>
      </c>
      <c r="G374" s="300"/>
      <c r="H374" s="299" t="e">
        <f t="shared" si="72"/>
        <v>#REF!</v>
      </c>
      <c r="I374" s="300"/>
      <c r="J374" s="299" t="e">
        <f t="shared" si="73"/>
        <v>#REF!</v>
      </c>
      <c r="K374" s="300"/>
    </row>
    <row r="375" spans="1:11" x14ac:dyDescent="0.2">
      <c r="A375" s="82"/>
      <c r="B375" s="299" t="e">
        <f t="shared" si="69"/>
        <v>#REF!</v>
      </c>
      <c r="C375" s="300"/>
      <c r="D375" s="299" t="e">
        <f t="shared" si="70"/>
        <v>#REF!</v>
      </c>
      <c r="E375" s="300"/>
      <c r="F375" s="299" t="e">
        <f t="shared" si="71"/>
        <v>#REF!</v>
      </c>
      <c r="G375" s="300"/>
      <c r="H375" s="299" t="e">
        <f t="shared" si="72"/>
        <v>#REF!</v>
      </c>
      <c r="I375" s="300"/>
      <c r="J375" s="299" t="e">
        <f t="shared" si="73"/>
        <v>#REF!</v>
      </c>
      <c r="K375" s="300"/>
    </row>
    <row r="376" spans="1:11" x14ac:dyDescent="0.2">
      <c r="A376" s="82"/>
      <c r="B376" s="299" t="e">
        <f t="shared" si="69"/>
        <v>#REF!</v>
      </c>
      <c r="C376" s="300"/>
      <c r="D376" s="299" t="e">
        <f t="shared" si="70"/>
        <v>#REF!</v>
      </c>
      <c r="E376" s="300"/>
      <c r="F376" s="299" t="e">
        <f t="shared" si="71"/>
        <v>#REF!</v>
      </c>
      <c r="G376" s="300"/>
      <c r="H376" s="299" t="e">
        <f t="shared" si="72"/>
        <v>#REF!</v>
      </c>
      <c r="I376" s="300"/>
      <c r="J376" s="299" t="e">
        <f t="shared" si="73"/>
        <v>#REF!</v>
      </c>
      <c r="K376" s="300"/>
    </row>
    <row r="377" spans="1:11" x14ac:dyDescent="0.2">
      <c r="A377" s="82"/>
      <c r="B377" s="299" t="e">
        <f t="shared" si="69"/>
        <v>#REF!</v>
      </c>
      <c r="C377" s="300"/>
      <c r="D377" s="299" t="e">
        <f t="shared" si="70"/>
        <v>#REF!</v>
      </c>
      <c r="E377" s="300"/>
      <c r="F377" s="299" t="e">
        <f t="shared" si="71"/>
        <v>#REF!</v>
      </c>
      <c r="G377" s="300"/>
      <c r="H377" s="299" t="e">
        <f t="shared" si="72"/>
        <v>#REF!</v>
      </c>
      <c r="I377" s="300"/>
      <c r="J377" s="299" t="e">
        <f t="shared" si="73"/>
        <v>#REF!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 t="e">
        <f>IF(B328="","",B328/12*11)</f>
        <v>#REF!</v>
      </c>
      <c r="C380" s="300"/>
      <c r="D380" s="299" t="e">
        <f>IF(D328="","",D328/12*11)</f>
        <v>#REF!</v>
      </c>
      <c r="E380" s="300"/>
      <c r="F380" s="299" t="e">
        <f>IF(F328="","",F328/12*11)</f>
        <v>#REF!</v>
      </c>
      <c r="G380" s="300"/>
      <c r="H380" s="299" t="e">
        <f>IF(H328="","",H328/12*11)</f>
        <v>#REF!</v>
      </c>
      <c r="I380" s="300"/>
      <c r="J380" s="299" t="e">
        <f>IF(J328="","",J328/12*11)</f>
        <v>#REF!</v>
      </c>
      <c r="K380" s="300"/>
    </row>
    <row r="381" spans="1:11" x14ac:dyDescent="0.2">
      <c r="A381" s="82"/>
      <c r="B381" s="299" t="e">
        <f t="shared" ref="B381:B403" si="74">IF(B329="","",B329/12*11)</f>
        <v>#REF!</v>
      </c>
      <c r="C381" s="300"/>
      <c r="D381" s="299" t="e">
        <f t="shared" ref="D381:D403" si="75">IF(D329="","",D329/12*11)</f>
        <v>#REF!</v>
      </c>
      <c r="E381" s="300"/>
      <c r="F381" s="299" t="e">
        <f t="shared" ref="F381:F403" si="76">IF(F329="","",F329/12*11)</f>
        <v>#REF!</v>
      </c>
      <c r="G381" s="300"/>
      <c r="H381" s="299" t="e">
        <f t="shared" ref="H381:H403" si="77">IF(H329="","",H329/12*11)</f>
        <v>#REF!</v>
      </c>
      <c r="I381" s="300"/>
      <c r="J381" s="299" t="e">
        <f t="shared" ref="J381:J403" si="78">IF(J329="","",J329/12*11)</f>
        <v>#REF!</v>
      </c>
      <c r="K381" s="300"/>
    </row>
    <row r="382" spans="1:11" x14ac:dyDescent="0.2">
      <c r="A382" s="82"/>
      <c r="B382" s="299" t="e">
        <f t="shared" si="74"/>
        <v>#REF!</v>
      </c>
      <c r="C382" s="300"/>
      <c r="D382" s="299" t="e">
        <f t="shared" si="75"/>
        <v>#REF!</v>
      </c>
      <c r="E382" s="300"/>
      <c r="F382" s="299" t="e">
        <f t="shared" si="76"/>
        <v>#REF!</v>
      </c>
      <c r="G382" s="300"/>
      <c r="H382" s="299" t="e">
        <f t="shared" si="77"/>
        <v>#REF!</v>
      </c>
      <c r="I382" s="300"/>
      <c r="J382" s="299" t="e">
        <f t="shared" si="78"/>
        <v>#REF!</v>
      </c>
      <c r="K382" s="300"/>
    </row>
    <row r="383" spans="1:11" x14ac:dyDescent="0.2">
      <c r="A383" s="82"/>
      <c r="B383" s="299" t="e">
        <f t="shared" si="74"/>
        <v>#REF!</v>
      </c>
      <c r="C383" s="300"/>
      <c r="D383" s="299" t="e">
        <f t="shared" si="75"/>
        <v>#REF!</v>
      </c>
      <c r="E383" s="300"/>
      <c r="F383" s="299" t="e">
        <f t="shared" si="76"/>
        <v>#REF!</v>
      </c>
      <c r="G383" s="300"/>
      <c r="H383" s="299" t="e">
        <f t="shared" si="77"/>
        <v>#REF!</v>
      </c>
      <c r="I383" s="300"/>
      <c r="J383" s="299" t="e">
        <f t="shared" si="78"/>
        <v>#REF!</v>
      </c>
      <c r="K383" s="300"/>
    </row>
    <row r="384" spans="1:11" x14ac:dyDescent="0.2">
      <c r="A384" s="82"/>
      <c r="B384" s="299" t="e">
        <f t="shared" si="74"/>
        <v>#REF!</v>
      </c>
      <c r="C384" s="300"/>
      <c r="D384" s="299" t="e">
        <f t="shared" si="75"/>
        <v>#REF!</v>
      </c>
      <c r="E384" s="300"/>
      <c r="F384" s="299" t="e">
        <f t="shared" si="76"/>
        <v>#REF!</v>
      </c>
      <c r="G384" s="300"/>
      <c r="H384" s="299" t="e">
        <f t="shared" si="77"/>
        <v>#REF!</v>
      </c>
      <c r="I384" s="300"/>
      <c r="J384" s="299" t="e">
        <f t="shared" si="78"/>
        <v>#REF!</v>
      </c>
      <c r="K384" s="300"/>
    </row>
    <row r="385" spans="1:11" x14ac:dyDescent="0.2">
      <c r="A385" s="82"/>
      <c r="B385" s="299" t="e">
        <f t="shared" si="74"/>
        <v>#REF!</v>
      </c>
      <c r="C385" s="300"/>
      <c r="D385" s="299" t="e">
        <f t="shared" si="75"/>
        <v>#REF!</v>
      </c>
      <c r="E385" s="300"/>
      <c r="F385" s="299" t="e">
        <f t="shared" si="76"/>
        <v>#REF!</v>
      </c>
      <c r="G385" s="300"/>
      <c r="H385" s="299" t="e">
        <f t="shared" si="77"/>
        <v>#REF!</v>
      </c>
      <c r="I385" s="300"/>
      <c r="J385" s="299" t="e">
        <f t="shared" si="78"/>
        <v>#REF!</v>
      </c>
      <c r="K385" s="300"/>
    </row>
    <row r="386" spans="1:11" x14ac:dyDescent="0.2">
      <c r="A386" s="82"/>
      <c r="B386" s="299" t="e">
        <f t="shared" si="74"/>
        <v>#REF!</v>
      </c>
      <c r="C386" s="300"/>
      <c r="D386" s="299" t="e">
        <f t="shared" si="75"/>
        <v>#REF!</v>
      </c>
      <c r="E386" s="300"/>
      <c r="F386" s="299" t="e">
        <f t="shared" si="76"/>
        <v>#REF!</v>
      </c>
      <c r="G386" s="300"/>
      <c r="H386" s="299" t="e">
        <f t="shared" si="77"/>
        <v>#REF!</v>
      </c>
      <c r="I386" s="300"/>
      <c r="J386" s="299" t="e">
        <f t="shared" si="78"/>
        <v>#REF!</v>
      </c>
      <c r="K386" s="300"/>
    </row>
    <row r="387" spans="1:11" x14ac:dyDescent="0.2">
      <c r="A387" s="82"/>
      <c r="B387" s="299" t="e">
        <f t="shared" si="74"/>
        <v>#REF!</v>
      </c>
      <c r="C387" s="300"/>
      <c r="D387" s="299" t="e">
        <f t="shared" si="75"/>
        <v>#REF!</v>
      </c>
      <c r="E387" s="300"/>
      <c r="F387" s="299" t="e">
        <f t="shared" si="76"/>
        <v>#REF!</v>
      </c>
      <c r="G387" s="300"/>
      <c r="H387" s="299" t="e">
        <f t="shared" si="77"/>
        <v>#REF!</v>
      </c>
      <c r="I387" s="300"/>
      <c r="J387" s="299" t="e">
        <f t="shared" si="78"/>
        <v>#REF!</v>
      </c>
      <c r="K387" s="300"/>
    </row>
    <row r="388" spans="1:11" x14ac:dyDescent="0.2">
      <c r="A388" s="82"/>
      <c r="B388" s="299" t="e">
        <f t="shared" si="74"/>
        <v>#REF!</v>
      </c>
      <c r="C388" s="300"/>
      <c r="D388" s="299" t="e">
        <f t="shared" si="75"/>
        <v>#REF!</v>
      </c>
      <c r="E388" s="300"/>
      <c r="F388" s="299" t="e">
        <f t="shared" si="76"/>
        <v>#REF!</v>
      </c>
      <c r="G388" s="300"/>
      <c r="H388" s="299" t="e">
        <f t="shared" si="77"/>
        <v>#REF!</v>
      </c>
      <c r="I388" s="300"/>
      <c r="J388" s="299" t="e">
        <f t="shared" si="78"/>
        <v>#REF!</v>
      </c>
      <c r="K388" s="300"/>
    </row>
    <row r="389" spans="1:11" x14ac:dyDescent="0.2">
      <c r="A389" s="82"/>
      <c r="B389" s="299" t="e">
        <f t="shared" si="74"/>
        <v>#REF!</v>
      </c>
      <c r="C389" s="300"/>
      <c r="D389" s="299" t="e">
        <f t="shared" si="75"/>
        <v>#REF!</v>
      </c>
      <c r="E389" s="300"/>
      <c r="F389" s="299" t="e">
        <f t="shared" si="76"/>
        <v>#REF!</v>
      </c>
      <c r="G389" s="300"/>
      <c r="H389" s="299" t="e">
        <f t="shared" si="77"/>
        <v>#REF!</v>
      </c>
      <c r="I389" s="300"/>
      <c r="J389" s="299" t="e">
        <f t="shared" si="78"/>
        <v>#REF!</v>
      </c>
      <c r="K389" s="300"/>
    </row>
    <row r="390" spans="1:11" x14ac:dyDescent="0.2">
      <c r="A390" s="82"/>
      <c r="B390" s="299" t="e">
        <f t="shared" si="74"/>
        <v>#REF!</v>
      </c>
      <c r="C390" s="300"/>
      <c r="D390" s="299" t="e">
        <f t="shared" si="75"/>
        <v>#REF!</v>
      </c>
      <c r="E390" s="300"/>
      <c r="F390" s="299" t="e">
        <f t="shared" si="76"/>
        <v>#REF!</v>
      </c>
      <c r="G390" s="300"/>
      <c r="H390" s="299" t="e">
        <f t="shared" si="77"/>
        <v>#REF!</v>
      </c>
      <c r="I390" s="300"/>
      <c r="J390" s="299" t="e">
        <f t="shared" si="78"/>
        <v>#REF!</v>
      </c>
      <c r="K390" s="300"/>
    </row>
    <row r="391" spans="1:11" x14ac:dyDescent="0.2">
      <c r="A391" s="82"/>
      <c r="B391" s="299" t="e">
        <f t="shared" si="74"/>
        <v>#REF!</v>
      </c>
      <c r="C391" s="300"/>
      <c r="D391" s="299" t="e">
        <f t="shared" si="75"/>
        <v>#REF!</v>
      </c>
      <c r="E391" s="300"/>
      <c r="F391" s="299" t="e">
        <f t="shared" si="76"/>
        <v>#REF!</v>
      </c>
      <c r="G391" s="300"/>
      <c r="H391" s="299" t="e">
        <f t="shared" si="77"/>
        <v>#REF!</v>
      </c>
      <c r="I391" s="300"/>
      <c r="J391" s="299" t="e">
        <f t="shared" si="78"/>
        <v>#REF!</v>
      </c>
      <c r="K391" s="300"/>
    </row>
    <row r="392" spans="1:11" x14ac:dyDescent="0.2">
      <c r="A392" s="82"/>
      <c r="B392" s="299" t="e">
        <f t="shared" si="74"/>
        <v>#REF!</v>
      </c>
      <c r="C392" s="300"/>
      <c r="D392" s="299" t="e">
        <f t="shared" si="75"/>
        <v>#REF!</v>
      </c>
      <c r="E392" s="300"/>
      <c r="F392" s="299" t="e">
        <f t="shared" si="76"/>
        <v>#REF!</v>
      </c>
      <c r="G392" s="300"/>
      <c r="H392" s="299" t="e">
        <f t="shared" si="77"/>
        <v>#REF!</v>
      </c>
      <c r="I392" s="300"/>
      <c r="J392" s="299" t="e">
        <f t="shared" si="78"/>
        <v>#REF!</v>
      </c>
      <c r="K392" s="300"/>
    </row>
    <row r="393" spans="1:11" x14ac:dyDescent="0.2">
      <c r="A393" s="82"/>
      <c r="B393" s="299" t="e">
        <f t="shared" si="74"/>
        <v>#REF!</v>
      </c>
      <c r="C393" s="300"/>
      <c r="D393" s="299" t="e">
        <f t="shared" si="75"/>
        <v>#REF!</v>
      </c>
      <c r="E393" s="300"/>
      <c r="F393" s="299" t="e">
        <f t="shared" si="76"/>
        <v>#REF!</v>
      </c>
      <c r="G393" s="300"/>
      <c r="H393" s="299" t="e">
        <f t="shared" si="77"/>
        <v>#REF!</v>
      </c>
      <c r="I393" s="300"/>
      <c r="J393" s="299" t="e">
        <f t="shared" si="78"/>
        <v>#REF!</v>
      </c>
      <c r="K393" s="300"/>
    </row>
    <row r="394" spans="1:11" x14ac:dyDescent="0.2">
      <c r="A394" s="82"/>
      <c r="B394" s="299" t="e">
        <f t="shared" si="74"/>
        <v>#REF!</v>
      </c>
      <c r="C394" s="300"/>
      <c r="D394" s="299" t="e">
        <f t="shared" si="75"/>
        <v>#REF!</v>
      </c>
      <c r="E394" s="300"/>
      <c r="F394" s="299" t="e">
        <f t="shared" si="76"/>
        <v>#REF!</v>
      </c>
      <c r="G394" s="300"/>
      <c r="H394" s="299" t="e">
        <f t="shared" si="77"/>
        <v>#REF!</v>
      </c>
      <c r="I394" s="300"/>
      <c r="J394" s="299" t="e">
        <f t="shared" si="78"/>
        <v>#REF!</v>
      </c>
      <c r="K394" s="300"/>
    </row>
    <row r="395" spans="1:11" x14ac:dyDescent="0.2">
      <c r="A395" s="82"/>
      <c r="B395" s="299" t="e">
        <f t="shared" si="74"/>
        <v>#REF!</v>
      </c>
      <c r="C395" s="300"/>
      <c r="D395" s="299" t="e">
        <f t="shared" si="75"/>
        <v>#REF!</v>
      </c>
      <c r="E395" s="300"/>
      <c r="F395" s="299" t="e">
        <f t="shared" si="76"/>
        <v>#REF!</v>
      </c>
      <c r="G395" s="300"/>
      <c r="H395" s="299" t="e">
        <f t="shared" si="77"/>
        <v>#REF!</v>
      </c>
      <c r="I395" s="300"/>
      <c r="J395" s="299" t="e">
        <f t="shared" si="78"/>
        <v>#REF!</v>
      </c>
      <c r="K395" s="300"/>
    </row>
    <row r="396" spans="1:11" x14ac:dyDescent="0.2">
      <c r="A396" s="82"/>
      <c r="B396" s="299" t="e">
        <f t="shared" si="74"/>
        <v>#REF!</v>
      </c>
      <c r="C396" s="300"/>
      <c r="D396" s="299" t="e">
        <f t="shared" si="75"/>
        <v>#REF!</v>
      </c>
      <c r="E396" s="300"/>
      <c r="F396" s="299" t="e">
        <f t="shared" si="76"/>
        <v>#REF!</v>
      </c>
      <c r="G396" s="300"/>
      <c r="H396" s="299" t="e">
        <f t="shared" si="77"/>
        <v>#REF!</v>
      </c>
      <c r="I396" s="300"/>
      <c r="J396" s="299" t="e">
        <f t="shared" si="78"/>
        <v>#REF!</v>
      </c>
      <c r="K396" s="300"/>
    </row>
    <row r="397" spans="1:11" x14ac:dyDescent="0.2">
      <c r="A397" s="82"/>
      <c r="B397" s="299" t="e">
        <f t="shared" si="74"/>
        <v>#REF!</v>
      </c>
      <c r="C397" s="300"/>
      <c r="D397" s="299" t="e">
        <f t="shared" si="75"/>
        <v>#REF!</v>
      </c>
      <c r="E397" s="300"/>
      <c r="F397" s="299" t="e">
        <f t="shared" si="76"/>
        <v>#REF!</v>
      </c>
      <c r="G397" s="300"/>
      <c r="H397" s="299" t="e">
        <f t="shared" si="77"/>
        <v>#REF!</v>
      </c>
      <c r="I397" s="300"/>
      <c r="J397" s="299" t="e">
        <f t="shared" si="78"/>
        <v>#REF!</v>
      </c>
      <c r="K397" s="300"/>
    </row>
    <row r="398" spans="1:11" x14ac:dyDescent="0.2">
      <c r="A398" s="82"/>
      <c r="B398" s="299" t="e">
        <f t="shared" si="74"/>
        <v>#REF!</v>
      </c>
      <c r="C398" s="300"/>
      <c r="D398" s="299" t="e">
        <f t="shared" si="75"/>
        <v>#REF!</v>
      </c>
      <c r="E398" s="300"/>
      <c r="F398" s="299" t="e">
        <f t="shared" si="76"/>
        <v>#REF!</v>
      </c>
      <c r="G398" s="300"/>
      <c r="H398" s="299" t="e">
        <f t="shared" si="77"/>
        <v>#REF!</v>
      </c>
      <c r="I398" s="300"/>
      <c r="J398" s="299" t="e">
        <f t="shared" si="78"/>
        <v>#REF!</v>
      </c>
      <c r="K398" s="300"/>
    </row>
    <row r="399" spans="1:11" x14ac:dyDescent="0.2">
      <c r="A399" s="82"/>
      <c r="B399" s="299" t="e">
        <f t="shared" si="74"/>
        <v>#REF!</v>
      </c>
      <c r="C399" s="300"/>
      <c r="D399" s="299" t="e">
        <f t="shared" si="75"/>
        <v>#REF!</v>
      </c>
      <c r="E399" s="300"/>
      <c r="F399" s="299" t="e">
        <f t="shared" si="76"/>
        <v>#REF!</v>
      </c>
      <c r="G399" s="300"/>
      <c r="H399" s="299" t="e">
        <f t="shared" si="77"/>
        <v>#REF!</v>
      </c>
      <c r="I399" s="300"/>
      <c r="J399" s="299" t="e">
        <f t="shared" si="78"/>
        <v>#REF!</v>
      </c>
      <c r="K399" s="300"/>
    </row>
    <row r="400" spans="1:11" x14ac:dyDescent="0.2">
      <c r="A400" s="82"/>
      <c r="B400" s="299" t="e">
        <f t="shared" si="74"/>
        <v>#REF!</v>
      </c>
      <c r="C400" s="300"/>
      <c r="D400" s="299" t="e">
        <f t="shared" si="75"/>
        <v>#REF!</v>
      </c>
      <c r="E400" s="300"/>
      <c r="F400" s="299" t="e">
        <f t="shared" si="76"/>
        <v>#REF!</v>
      </c>
      <c r="G400" s="300"/>
      <c r="H400" s="299" t="e">
        <f t="shared" si="77"/>
        <v>#REF!</v>
      </c>
      <c r="I400" s="300"/>
      <c r="J400" s="299" t="e">
        <f t="shared" si="78"/>
        <v>#REF!</v>
      </c>
      <c r="K400" s="300"/>
    </row>
    <row r="401" spans="1:11" x14ac:dyDescent="0.2">
      <c r="A401" s="82"/>
      <c r="B401" s="299" t="e">
        <f t="shared" si="74"/>
        <v>#REF!</v>
      </c>
      <c r="C401" s="300"/>
      <c r="D401" s="299" t="e">
        <f t="shared" si="75"/>
        <v>#REF!</v>
      </c>
      <c r="E401" s="300"/>
      <c r="F401" s="299" t="e">
        <f t="shared" si="76"/>
        <v>#REF!</v>
      </c>
      <c r="G401" s="300"/>
      <c r="H401" s="299" t="e">
        <f t="shared" si="77"/>
        <v>#REF!</v>
      </c>
      <c r="I401" s="300"/>
      <c r="J401" s="299" t="e">
        <f t="shared" si="78"/>
        <v>#REF!</v>
      </c>
      <c r="K401" s="300"/>
    </row>
    <row r="402" spans="1:11" x14ac:dyDescent="0.2">
      <c r="A402" s="82"/>
      <c r="B402" s="299" t="e">
        <f t="shared" si="74"/>
        <v>#REF!</v>
      </c>
      <c r="C402" s="300"/>
      <c r="D402" s="299" t="e">
        <f t="shared" si="75"/>
        <v>#REF!</v>
      </c>
      <c r="E402" s="300"/>
      <c r="F402" s="299" t="e">
        <f t="shared" si="76"/>
        <v>#REF!</v>
      </c>
      <c r="G402" s="300"/>
      <c r="H402" s="299" t="e">
        <f t="shared" si="77"/>
        <v>#REF!</v>
      </c>
      <c r="I402" s="300"/>
      <c r="J402" s="299" t="e">
        <f t="shared" si="78"/>
        <v>#REF!</v>
      </c>
      <c r="K402" s="300"/>
    </row>
    <row r="403" spans="1:11" x14ac:dyDescent="0.2">
      <c r="A403" s="82"/>
      <c r="B403" s="299" t="e">
        <f t="shared" si="74"/>
        <v>#REF!</v>
      </c>
      <c r="C403" s="300"/>
      <c r="D403" s="299" t="e">
        <f t="shared" si="75"/>
        <v>#REF!</v>
      </c>
      <c r="E403" s="300"/>
      <c r="F403" s="299" t="e">
        <f t="shared" si="76"/>
        <v>#REF!</v>
      </c>
      <c r="G403" s="300"/>
      <c r="H403" s="299" t="e">
        <f t="shared" si="77"/>
        <v>#REF!</v>
      </c>
      <c r="I403" s="300"/>
      <c r="J403" s="299" t="e">
        <f t="shared" si="78"/>
        <v>#REF!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78" priority="1">
      <formula>$G$5=0</formula>
    </cfRule>
  </conditionalFormatting>
  <conditionalFormatting sqref="M181:O181">
    <cfRule type="expression" priority="2">
      <formula>#REF!&lt;&gt;$A$91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opLeftCell="A22" workbookViewId="0">
      <selection activeCell="F37" sqref="F37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260" t="s">
        <v>25</v>
      </c>
      <c r="C1" s="123">
        <f>IF('R9'!N2="0 Months",0,IF('R9'!N2="1 month",1,IF('R9'!N2="2 months",2,IF('R9'!N2="3 months",3,IF('R9'!N2="4 months",4,IF('R9'!N2="5 months",5,IF('R9'!N2="6 months",6,IF('R9'!N2="7 months",7,IF('R9'!N2="8 months",8,IF('R9'!N2="9 months",9,IF('R9'!N2="10 months",10,IF('R9'!N2="11 months",11,IF('R9'!N2="12 months",12,0)))))))))))))</f>
        <v>12</v>
      </c>
      <c r="D1" s="260"/>
      <c r="E1" s="260"/>
      <c r="F1" s="260"/>
      <c r="G1" s="260"/>
      <c r="I1" s="22"/>
      <c r="J1" s="23"/>
      <c r="K1" s="23"/>
      <c r="L1" s="23"/>
      <c r="M1" s="23"/>
      <c r="N1" s="23"/>
      <c r="O1" s="23"/>
    </row>
    <row r="2" spans="1:15" x14ac:dyDescent="0.2">
      <c r="A2" s="258" t="s">
        <v>1</v>
      </c>
      <c r="B2" s="5">
        <f>'R9'!C1</f>
        <v>43009</v>
      </c>
      <c r="C2" s="5">
        <f>B2</f>
        <v>43009</v>
      </c>
      <c r="D2" s="5">
        <f>IF(C3&lt;B3,DATE(YEAR(C3),MONTH(C3),DAY(C3)+1),"")</f>
        <v>43374</v>
      </c>
      <c r="E2" s="5">
        <f>IF($D$3&lt;$B$3,DATE(YEAR(D3),MONTH(D3),DAY(D3)+1),"")</f>
        <v>43739</v>
      </c>
      <c r="F2" s="5">
        <f>IF(AND($D$3&lt;$B$3,$E3&lt;$B$3),DATE(YEAR(E3),MONTH(E3),DAY(E3)+1),"")</f>
        <v>44105</v>
      </c>
      <c r="G2" s="5">
        <f>IF(AND($D$3&lt;$B$3,$E3&lt;$B$3,F3&lt;B3),DATE(YEAR(F3),MONTH(F3),DAY(F3)+1),"")</f>
        <v>44470</v>
      </c>
      <c r="I2" s="22"/>
      <c r="J2" s="23"/>
      <c r="K2" s="24"/>
      <c r="L2" s="23"/>
      <c r="M2" s="23"/>
      <c r="N2" s="23"/>
      <c r="O2" s="23"/>
    </row>
    <row r="3" spans="1:15" x14ac:dyDescent="0.2">
      <c r="A3" s="258" t="s">
        <v>2</v>
      </c>
      <c r="B3" s="5">
        <f>'R9'!C2</f>
        <v>44834</v>
      </c>
      <c r="C3" s="5">
        <f>IF(B5&lt;C1,B3,(DATE(YEAR(C2),MONTH(C2)+C1,DAY(C2)-1)))</f>
        <v>43373</v>
      </c>
      <c r="D3" s="5">
        <f>IF(C3=B3,"",IF((DATE(YEAR(D2)+1,MONTH(D2),DAY(D2)-1))&gt;$B$3,$B$3,(DATE(YEAR(D2)+1,MONTH(D2),DAY(D2)-1))))</f>
        <v>43738</v>
      </c>
      <c r="E3" s="5">
        <f>IF(C3=B3,"",IF(D3=B3,"",IF((DATE(YEAR(E2)+1,MONTH(E2),DAY(E2)-1))&gt;$B$3,$B$3,(DATE(YEAR(E2)+1,MONTH(E2),DAY(E2)-1)))))</f>
        <v>44104</v>
      </c>
      <c r="F3" s="5">
        <f>IF($B$3=$C$3,"",IF($D$3=$B$3,"",IF($E$3=$B$3,"",IF((DATE(YEAR(F2)+1,MONTH(F2),DAY(F2)-1))&gt;$B$3,$B$3,(DATE(YEAR(F2)+1,MONTH(F2),DAY(F2)-1))))))</f>
        <v>44469</v>
      </c>
      <c r="G3" s="5">
        <f>IF($B$3=$C$3,"",IF($D$3=$B$3,"",IF($E$3=$B$3,"",IF($F3=B3,"",IF((DATE(YEAR(G2)+1,MONTH(G2),DAY(G2)-1))&gt;$B$3,$B$3,(DATE(YEAR(G2)+1,MONTH(G2),DAY(G2)-1)))))))</f>
        <v>44834</v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258" t="s">
        <v>23</v>
      </c>
      <c r="B4" s="258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17/18</v>
      </c>
      <c r="C4" s="258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17/18</v>
      </c>
      <c r="D4" s="258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>18/19</v>
      </c>
      <c r="E4" s="258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>19/20</v>
      </c>
      <c r="F4" s="258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>20/21</v>
      </c>
      <c r="G4" s="258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>21/22</v>
      </c>
      <c r="H4" s="85"/>
      <c r="I4" s="22"/>
      <c r="J4" s="23"/>
      <c r="K4" s="23"/>
      <c r="L4" s="23"/>
      <c r="M4" s="23"/>
      <c r="N4" s="23"/>
      <c r="O4" s="23"/>
    </row>
    <row r="5" spans="1:15" x14ac:dyDescent="0.2">
      <c r="A5" s="258" t="s">
        <v>26</v>
      </c>
      <c r="B5" s="7">
        <f>ROUND(YEARFRAC(B2,(DATE(YEAR(B3),MONTH(B3),DAY(B3)+1)),0)*12,1)</f>
        <v>60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12</v>
      </c>
      <c r="E5" s="16">
        <f>IF(E4="",0,ROUND(YEARFRAC(E2,(DATE(YEAR(E3),MONTH(E3),DAY(E3)+1)),0)*12,1))</f>
        <v>12</v>
      </c>
      <c r="F5" s="16">
        <f>IF(F4="",0,ROUND(YEARFRAC(F2,(DATE(YEAR(F3),MONTH(F3),DAY(F3)+1)),0)*12,1))</f>
        <v>12</v>
      </c>
      <c r="G5" s="16">
        <f>IF(G4="",0,ROUND(YEARFRAC(G2,(DATE(YEAR(G3),MONTH(G3),DAY(G3)+1)),0)*12,1))</f>
        <v>12</v>
      </c>
      <c r="I5" s="22"/>
      <c r="J5" s="23"/>
      <c r="K5" s="23"/>
      <c r="L5" s="23"/>
      <c r="M5" s="23"/>
      <c r="N5" s="23"/>
      <c r="O5" s="23"/>
    </row>
    <row r="6" spans="1:15" x14ac:dyDescent="0.2">
      <c r="A6" s="258" t="s">
        <v>27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9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9</v>
      </c>
      <c r="E6" s="15">
        <f t="shared" si="0"/>
        <v>9</v>
      </c>
      <c r="F6" s="15">
        <f t="shared" si="0"/>
        <v>9</v>
      </c>
      <c r="G6" s="15">
        <f t="shared" si="0"/>
        <v>9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258" t="s">
        <v>28</v>
      </c>
      <c r="B7" s="8"/>
      <c r="C7" s="8">
        <f>IF(ROUND(C5-C6,2)&lt;0,0,ROUND(C5-C6,2))</f>
        <v>3</v>
      </c>
      <c r="D7" s="8">
        <f>IF(ROUND(D5-D6,2)&lt;0,0,ROUND(D5-D6,2))</f>
        <v>3</v>
      </c>
      <c r="E7" s="8">
        <f>IF(ROUND(E5-E6,2)&lt;0,0,ROUND(E5-E6,2))</f>
        <v>3</v>
      </c>
      <c r="F7" s="8">
        <f>IF(ROUND(F5-F6,2)&lt;0,0,ROUND(F5-F6,2))</f>
        <v>3</v>
      </c>
      <c r="G7" s="8">
        <f>IF(ROUND(G5-G6,2)&lt;0,0,ROUND(G5-G6,2))</f>
        <v>3</v>
      </c>
      <c r="H7" s="85"/>
      <c r="I7" s="22"/>
      <c r="J7" s="23"/>
      <c r="K7" s="23"/>
      <c r="L7" s="23"/>
      <c r="M7" s="23"/>
      <c r="N7" s="23"/>
      <c r="O7" s="23"/>
    </row>
    <row r="8" spans="1:15" x14ac:dyDescent="0.2">
      <c r="A8" s="258" t="s">
        <v>48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7/01/2018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>7/01/2019</v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>7/01/2020</v>
      </c>
      <c r="F8" s="5" t="str">
        <f t="shared" si="1"/>
        <v>7/01/2021</v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>7/01/2022</v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258" t="s">
        <v>50</v>
      </c>
      <c r="B9" s="5"/>
      <c r="C9" s="14">
        <f>IF(C5&lt;C6,C5,IF(C5=C6,C5,IF(C5&gt;C6,C6)))</f>
        <v>9</v>
      </c>
      <c r="D9" s="14">
        <f t="shared" ref="D9:E9" si="2">IF(D5&lt;D6,D5,IF(D5=D6,D5,IF(D5&gt;D6,D6)))</f>
        <v>9</v>
      </c>
      <c r="E9" s="14">
        <f t="shared" si="2"/>
        <v>9</v>
      </c>
      <c r="F9" s="14">
        <f>IF(F5&lt;F6,F5,IF(F5=F6,F5,IF(F5&gt;F6,F6)))</f>
        <v>9</v>
      </c>
      <c r="G9" s="14">
        <f>IF(G5&lt;G6,G5,IF(G5=G6,G5,IF(G5&gt;G6,G6)))</f>
        <v>9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258" t="s">
        <v>49</v>
      </c>
      <c r="B10" s="5"/>
      <c r="C10" s="7">
        <f>ROUND(C5-C9,2)</f>
        <v>3</v>
      </c>
      <c r="D10" s="7">
        <f>IF(D4="",0,ROUND(D5-D9,2))</f>
        <v>3</v>
      </c>
      <c r="E10" s="7">
        <f>IF(E4="",0,ROUND(E5-E9,2))</f>
        <v>3</v>
      </c>
      <c r="F10" s="7">
        <f>IF(F4="",0,ROUND(F5-F9,2))</f>
        <v>3</v>
      </c>
      <c r="G10" s="7">
        <f>IF(G4="",0,ROUND(G5-G9,2))</f>
        <v>3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258" t="s">
        <v>53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0.5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0.5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0.5</v>
      </c>
      <c r="F11" s="21">
        <f t="shared" si="3"/>
        <v>0.5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0.5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258" t="s">
        <v>54</v>
      </c>
      <c r="B12" s="5"/>
      <c r="C12" s="7">
        <f>3-C11</f>
        <v>2.5</v>
      </c>
      <c r="D12" s="7">
        <f>IF(D4="",0,3-D11)</f>
        <v>2.5</v>
      </c>
      <c r="E12" s="7">
        <f>IF(E4="",0,3-E11)</f>
        <v>2.5</v>
      </c>
      <c r="F12" s="7">
        <f>IF(F4="",0,3-F11)</f>
        <v>2.5</v>
      </c>
      <c r="G12" s="7">
        <f>IF(G4="",0,3-G11)</f>
        <v>2.5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2" t="s">
        <v>55</v>
      </c>
      <c r="B13" s="73"/>
      <c r="C13" s="74">
        <f>IF(C9&gt;=C11,C11,C9)</f>
        <v>0.5</v>
      </c>
      <c r="D13" s="74">
        <f>IF(D4="",0,IF(D9&gt;=D11,D11,D9))</f>
        <v>0.5</v>
      </c>
      <c r="E13" s="74">
        <f t="shared" ref="E13:G13" si="4">IF(E9&gt;=E11,E11,E9)</f>
        <v>0.5</v>
      </c>
      <c r="F13" s="74">
        <f t="shared" si="4"/>
        <v>0.5</v>
      </c>
      <c r="G13" s="74">
        <f t="shared" si="4"/>
        <v>0.5</v>
      </c>
      <c r="H13" s="12"/>
    </row>
    <row r="14" spans="1:15" x14ac:dyDescent="0.2">
      <c r="A14" s="72" t="s">
        <v>56</v>
      </c>
      <c r="B14" s="73"/>
      <c r="C14" s="74">
        <f>IF(C10&gt;=C12,C12,C10)</f>
        <v>2.5</v>
      </c>
      <c r="D14" s="74">
        <f t="shared" ref="D14:G14" si="5">IF(D10&gt;=D12,D12,D10)</f>
        <v>2.5</v>
      </c>
      <c r="E14" s="74">
        <f t="shared" si="5"/>
        <v>2.5</v>
      </c>
      <c r="F14" s="74">
        <f t="shared" si="5"/>
        <v>2.5</v>
      </c>
      <c r="G14" s="74">
        <f t="shared" si="5"/>
        <v>2.5</v>
      </c>
      <c r="H14" s="12"/>
    </row>
    <row r="15" spans="1:15" x14ac:dyDescent="0.2">
      <c r="A15" s="258" t="s">
        <v>58</v>
      </c>
      <c r="B15" s="5">
        <f ca="1">IF('R9'!R1="",TODAY(),'R9'!R1)</f>
        <v>42886</v>
      </c>
      <c r="H15" s="12"/>
    </row>
    <row r="16" spans="1:15" x14ac:dyDescent="0.2">
      <c r="A16" s="258" t="s">
        <v>60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16/17</v>
      </c>
      <c r="C16" s="296" t="s">
        <v>201</v>
      </c>
      <c r="D16" s="297"/>
      <c r="E16" s="297"/>
      <c r="F16" s="297"/>
      <c r="G16" s="298"/>
      <c r="H16" s="12"/>
    </row>
    <row r="17" spans="1:8" x14ac:dyDescent="0.2">
      <c r="A17" s="258" t="s">
        <v>61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7/01/2017</v>
      </c>
      <c r="C17" s="28">
        <f>(DATE(YEAR(C2),MONTH(C2)+C6,DAY(C2)-1))</f>
        <v>43281</v>
      </c>
      <c r="D17" s="28">
        <f>IF(D2="","",(DATE(YEAR(D2),MONTH(D2)+D6,DAY(D2)-1)))</f>
        <v>43646</v>
      </c>
      <c r="E17" s="28">
        <f>IF(E2="","",(DATE(YEAR(E2),MONTH(E2)+E6,DAY(E2)-1)))</f>
        <v>44012</v>
      </c>
      <c r="F17" s="28">
        <f t="shared" ref="F17:G17" si="6">IF(F2="","",(DATE(YEAR(F2),MONTH(F2)+F6,DAY(F2)-1)))</f>
        <v>44377</v>
      </c>
      <c r="G17" s="165">
        <f t="shared" si="6"/>
        <v>44742</v>
      </c>
      <c r="H17" s="12"/>
    </row>
    <row r="18" spans="1:8" x14ac:dyDescent="0.2">
      <c r="A18" s="258" t="s">
        <v>59</v>
      </c>
      <c r="B18" s="116">
        <f ca="1">ROUND(IF(B16="","",YEARFRAC(B15,(DATE(YEAR(B17),MONTH(B17),DAY(B17)+1)),1)*12),1)</f>
        <v>1.1000000000000001</v>
      </c>
      <c r="C18" s="31">
        <f>(DATE(YEAR(C2),MONTH(C2)+C6,DAY(C2)))</f>
        <v>43282</v>
      </c>
      <c r="D18" s="31">
        <f>IF(D2="","",(DATE(YEAR(D2),MONTH(D2)+D6,DAY(D2))))</f>
        <v>43647</v>
      </c>
      <c r="E18" s="31">
        <f t="shared" ref="E18:G18" si="7">IF(E2="","",(DATE(YEAR(E2),MONTH(E2)+E6,DAY(E2))))</f>
        <v>44013</v>
      </c>
      <c r="F18" s="31">
        <f t="shared" si="7"/>
        <v>44378</v>
      </c>
      <c r="G18" s="166">
        <f t="shared" si="7"/>
        <v>44743</v>
      </c>
      <c r="H18" s="12"/>
    </row>
    <row r="19" spans="1:8" x14ac:dyDescent="0.2">
      <c r="A19" s="258" t="s">
        <v>62</v>
      </c>
      <c r="B19" s="116">
        <f ca="1">ROUND(YEARFRAC(B15,(DATE(YEAR(B2),MONTH(B2),DAY(B2)+1)),1)*12,1)</f>
        <v>4.0999999999999996</v>
      </c>
      <c r="C19" s="33">
        <f>C3</f>
        <v>43373</v>
      </c>
      <c r="D19" s="33">
        <f>D3</f>
        <v>43738</v>
      </c>
      <c r="E19" s="33">
        <f>E3</f>
        <v>44104</v>
      </c>
      <c r="F19" s="33">
        <f>F3</f>
        <v>44469</v>
      </c>
      <c r="G19" s="167">
        <f>G3</f>
        <v>44834</v>
      </c>
      <c r="H19" s="12"/>
    </row>
    <row r="20" spans="1:8" x14ac:dyDescent="0.2">
      <c r="A20" s="258" t="s">
        <v>63</v>
      </c>
      <c r="B20" s="7">
        <f ca="1">IF(B18&gt;B19,0,IF(B19&gt;=B18,ROUNDDOWN((B19-B18)/12+1,0)))</f>
        <v>1</v>
      </c>
      <c r="C20" s="33"/>
      <c r="D20" s="34"/>
      <c r="E20" s="34"/>
      <c r="F20" s="34"/>
      <c r="G20" s="35"/>
      <c r="H20" s="12"/>
    </row>
    <row r="21" spans="1:8" x14ac:dyDescent="0.2">
      <c r="A21" s="258" t="s">
        <v>103</v>
      </c>
      <c r="B21" s="110">
        <f ca="1">IF(C22=TRUE,C21,DATE(YEAR(C21)+1,MONTH(C21),DAY(C21)))</f>
        <v>42979</v>
      </c>
      <c r="C21" s="28" t="str">
        <f ca="1">IF(B16="14/15",("09/01/2014"),IF(B16="15/16",("09/01/2015"),IF(B16="16/17",("09/01/2016"),IF(B16="17/18",("09/1/2017")))))</f>
        <v>09/01/2016</v>
      </c>
      <c r="D21" s="29"/>
      <c r="E21" s="29"/>
      <c r="F21" s="29"/>
      <c r="G21" s="30"/>
      <c r="H21" s="12"/>
    </row>
    <row r="22" spans="1:8" x14ac:dyDescent="0.2">
      <c r="A22" s="258" t="s">
        <v>104</v>
      </c>
      <c r="B22" s="7">
        <f ca="1">ROUND(IF(B16="","",YEARFRAC(B15,(DATE(YEAR(B21),MONTH(B21),DAY(B21)+1)),1)*12),1)</f>
        <v>3.1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2">
      <c r="A23" s="258" t="s">
        <v>105</v>
      </c>
      <c r="B23" s="7">
        <f ca="1">ROUND(YEARFRAC(B15,(DATE(YEAR(B2),MONTH(B2),DAY(B2)+1)),1)*12,1)</f>
        <v>4.0999999999999996</v>
      </c>
      <c r="C23" s="31"/>
      <c r="D23" s="13"/>
      <c r="E23" s="13"/>
      <c r="F23" s="13"/>
      <c r="G23" s="32"/>
      <c r="H23" s="12"/>
    </row>
    <row r="24" spans="1:8" x14ac:dyDescent="0.2">
      <c r="A24" s="258" t="s">
        <v>106</v>
      </c>
      <c r="B24" s="36">
        <f ca="1">IF(AND(B22&gt;=B23,B22&lt;5),0,(IF(AND(B22&gt;=B23,B22&gt;=5),1,(IF(AND(B23&gt;B22,B22&gt;=5),ROUND((B23-B22)/12+1,0),((ROUND((B23-B22)/12,0))))))))</f>
        <v>0</v>
      </c>
      <c r="C24" s="33"/>
      <c r="D24" s="34"/>
      <c r="E24" s="34"/>
      <c r="F24" s="34"/>
      <c r="G24" s="35"/>
      <c r="H24" s="12"/>
    </row>
    <row r="25" spans="1:8" x14ac:dyDescent="0.2">
      <c r="A25" s="258" t="s">
        <v>118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9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9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9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9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9</v>
      </c>
      <c r="H25" s="12"/>
    </row>
    <row r="26" spans="1:8" x14ac:dyDescent="0.2">
      <c r="A26" s="258" t="s">
        <v>119</v>
      </c>
      <c r="B26" s="7"/>
      <c r="C26" s="14">
        <f>9-C25</f>
        <v>0</v>
      </c>
      <c r="D26" s="14">
        <f>IF(D4="",0,9-D25)</f>
        <v>0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2">
      <c r="A27" s="258" t="s">
        <v>120</v>
      </c>
      <c r="B27" s="7"/>
      <c r="C27" s="7">
        <f>IF(C5&lt;C25,C5,C25)</f>
        <v>9</v>
      </c>
      <c r="D27" s="7">
        <f>IF(D5&lt;D25,D5,D25)</f>
        <v>9</v>
      </c>
      <c r="E27" s="7">
        <f t="shared" ref="E27:G27" si="8">IF(E5&lt;E25,E5,E25)</f>
        <v>9</v>
      </c>
      <c r="F27" s="7">
        <f t="shared" si="8"/>
        <v>9</v>
      </c>
      <c r="G27" s="7">
        <f t="shared" si="8"/>
        <v>9</v>
      </c>
      <c r="H27" s="12"/>
    </row>
    <row r="28" spans="1:8" x14ac:dyDescent="0.2">
      <c r="A28" s="258" t="s">
        <v>121</v>
      </c>
      <c r="B28" s="5"/>
      <c r="C28" s="7">
        <f>IF(C5&lt;C25,0,IF(C5&lt;C25+C26,C5-C25,C26))</f>
        <v>0</v>
      </c>
      <c r="D28" s="7">
        <f>IF(D4="",0,IF(D5&lt;D25,0,IF(D5&lt;D25+D26,D5-D25,D26)))</f>
        <v>0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2">
      <c r="A29" s="258" t="s">
        <v>165</v>
      </c>
      <c r="B29" s="5"/>
      <c r="C29" s="7">
        <f>C27+C28</f>
        <v>9</v>
      </c>
      <c r="D29" s="7">
        <f t="shared" ref="D29:G29" si="9">D27+D28</f>
        <v>9</v>
      </c>
      <c r="E29" s="7">
        <f t="shared" si="9"/>
        <v>9</v>
      </c>
      <c r="F29" s="7">
        <f t="shared" si="9"/>
        <v>9</v>
      </c>
      <c r="G29" s="7">
        <f t="shared" si="9"/>
        <v>9</v>
      </c>
      <c r="H29" s="12"/>
    </row>
    <row r="30" spans="1:8" x14ac:dyDescent="0.2">
      <c r="A30" s="258" t="s">
        <v>166</v>
      </c>
      <c r="B30" s="5"/>
      <c r="C30" s="7">
        <f>IF(C29=0,0,IF(C29&lt;4,1,IF(C29&lt;7,2,3)))</f>
        <v>3</v>
      </c>
      <c r="D30" s="7">
        <f t="shared" ref="D30:F30" si="10">IF(D29=0,0,IF(D29&lt;4,1,IF(D29&lt;7,2,3)))</f>
        <v>3</v>
      </c>
      <c r="E30" s="7">
        <f t="shared" si="10"/>
        <v>3</v>
      </c>
      <c r="F30" s="7">
        <f t="shared" si="10"/>
        <v>3</v>
      </c>
      <c r="G30" s="7">
        <f>IF(G29=0,0,IF(G29&lt;4,1,IF(G29&lt;7,2,3)))</f>
        <v>3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29</v>
      </c>
      <c r="B34" s="260" t="s">
        <v>34</v>
      </c>
      <c r="C34" s="260" t="s">
        <v>35</v>
      </c>
      <c r="D34" s="260" t="s">
        <v>44</v>
      </c>
      <c r="E34" s="260" t="s">
        <v>36</v>
      </c>
      <c r="F34" s="260" t="s">
        <v>37</v>
      </c>
      <c r="G34" s="260" t="s">
        <v>38</v>
      </c>
      <c r="H34" s="260" t="s">
        <v>39</v>
      </c>
      <c r="I34" s="260" t="s">
        <v>40</v>
      </c>
      <c r="J34" s="260" t="s">
        <v>41</v>
      </c>
      <c r="K34" s="260" t="s">
        <v>42</v>
      </c>
      <c r="L34" s="260" t="s">
        <v>43</v>
      </c>
    </row>
    <row r="35" spans="1:12" x14ac:dyDescent="0.2">
      <c r="A35" s="4" t="s">
        <v>15</v>
      </c>
      <c r="B35" s="4">
        <v>0.20799999999999999</v>
      </c>
      <c r="C35" s="4">
        <v>0.192</v>
      </c>
      <c r="D35" s="4">
        <v>0.19500000000000001</v>
      </c>
      <c r="E35" s="4">
        <v>0.19500000000000001</v>
      </c>
      <c r="F35" s="4">
        <f>IF('R9'!$S$34="No",$E35,ROUND(E35*1.03,3))</f>
        <v>0.20100000000000001</v>
      </c>
      <c r="G35" s="4">
        <f>IF('R9'!$S$34="No",$E35,ROUND(F35*1.03,3))</f>
        <v>0.20699999999999999</v>
      </c>
      <c r="H35" s="4">
        <f>IF('R9'!$S$34="No",$E35,ROUND(G35*1.03,3))</f>
        <v>0.21299999999999999</v>
      </c>
      <c r="I35" s="4">
        <f>IF('R9'!$S$34="No",$E35,ROUND(H35*1.03,3))</f>
        <v>0.219</v>
      </c>
      <c r="J35" s="4">
        <f>IF('R9'!$S$34="No",$E35,ROUND(I35*1.03,3))</f>
        <v>0.22600000000000001</v>
      </c>
      <c r="K35" s="4">
        <f>IF('R9'!$S$34="No",$E35,ROUND(J35*1.03,3))</f>
        <v>0.23300000000000001</v>
      </c>
      <c r="L35" s="4">
        <f>IF('R9'!$S$34="No",$E35,ROUND(K35*1.03,3))</f>
        <v>0.24</v>
      </c>
    </row>
    <row r="36" spans="1:12" x14ac:dyDescent="0.2">
      <c r="A36" s="4" t="s">
        <v>16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>
        <f>IF('R9'!$S$34="No",$E36,ROUND(E36*1.03,3))</f>
        <v>0.314</v>
      </c>
      <c r="G36" s="4">
        <f>IF('R9'!$S$34="No",$E36,ROUND(F36*1.03,3))</f>
        <v>0.32300000000000001</v>
      </c>
      <c r="H36" s="4">
        <f>IF('R9'!$S$34="No",$E36,ROUND(G36*1.03,3))</f>
        <v>0.33300000000000002</v>
      </c>
      <c r="I36" s="4">
        <f>IF('R9'!$S$34="No",$E36,ROUND(H36*1.03,3))</f>
        <v>0.34300000000000003</v>
      </c>
      <c r="J36" s="4">
        <f>IF('R9'!$S$34="No",$E36,ROUND(I36*1.03,3))</f>
        <v>0.35299999999999998</v>
      </c>
      <c r="K36" s="4">
        <f>IF('R9'!$S$34="No",$E36,ROUND(J36*1.03,3))</f>
        <v>0.36399999999999999</v>
      </c>
      <c r="L36" s="4">
        <f>IF('R9'!$S$34="No",$E36,ROUND(K36*1.03,3))</f>
        <v>0.375</v>
      </c>
    </row>
    <row r="37" spans="1:12" x14ac:dyDescent="0.2">
      <c r="A37" s="4" t="s">
        <v>30</v>
      </c>
      <c r="B37" s="4">
        <v>0.38300000000000001</v>
      </c>
      <c r="C37" s="4">
        <v>0.379</v>
      </c>
      <c r="D37" s="4">
        <v>0.38100000000000001</v>
      </c>
      <c r="E37" s="4">
        <v>0.38900000000000001</v>
      </c>
      <c r="F37" s="4">
        <f>IF('R9'!$S$34="No",$E37,ROUND(E37*1.03,3))</f>
        <v>0.40100000000000002</v>
      </c>
      <c r="G37" s="4">
        <f>IF('R9'!$S$34="No",$E37,ROUND(F37*1.03,3))</f>
        <v>0.41299999999999998</v>
      </c>
      <c r="H37" s="4">
        <f>IF('R9'!$S$34="No",$E37,ROUND(G37*1.03,3))</f>
        <v>0.42499999999999999</v>
      </c>
      <c r="I37" s="4">
        <f>IF('R9'!$S$34="No",$E37,ROUND(H37*1.03,3))</f>
        <v>0.438</v>
      </c>
      <c r="J37" s="4">
        <f>IF('R9'!$S$34="No",$E37,ROUND(I37*1.03,3))</f>
        <v>0.45100000000000001</v>
      </c>
      <c r="K37" s="4">
        <f>IF('R9'!$S$34="No",$E37,ROUND(J37*1.03,3))</f>
        <v>0.46500000000000002</v>
      </c>
      <c r="L37" s="4">
        <f>IF('R9'!$S$34="No",$E37,ROUND(K37*1.03,3))</f>
        <v>0.47899999999999998</v>
      </c>
    </row>
    <row r="38" spans="1:12" x14ac:dyDescent="0.2">
      <c r="A38" s="4" t="s">
        <v>20</v>
      </c>
      <c r="B38" s="4">
        <v>0.504</v>
      </c>
      <c r="C38" s="4">
        <v>0.51400000000000001</v>
      </c>
      <c r="D38" s="4">
        <v>0.51300000000000001</v>
      </c>
      <c r="E38" s="4">
        <v>0.51</v>
      </c>
      <c r="F38" s="4">
        <f>IF('R9'!$S$34="No",$E38,ROUND(E38*1.03,3))</f>
        <v>0.52500000000000002</v>
      </c>
      <c r="G38" s="4">
        <f>IF('R9'!$S$34="No",$E38,ROUND(F38*1.03,3))</f>
        <v>0.54100000000000004</v>
      </c>
      <c r="H38" s="4">
        <f>IF('R9'!$S$34="No",$E38,ROUND(G38*1.03,3))</f>
        <v>0.55700000000000005</v>
      </c>
      <c r="I38" s="4">
        <f>IF('R9'!$S$34="No",$E38,ROUND(H38*1.03,3))</f>
        <v>0.57399999999999995</v>
      </c>
      <c r="J38" s="4">
        <f>IF('R9'!$S$34="No",$E38,ROUND(I38*1.03,3))</f>
        <v>0.59099999999999997</v>
      </c>
      <c r="K38" s="4">
        <f>IF('R9'!$S$34="No",$E38,ROUND(J38*1.03,3))</f>
        <v>0.60899999999999999</v>
      </c>
      <c r="L38" s="4">
        <f>IF('R9'!$S$34="No",$E38,ROUND(K38*1.03,3))</f>
        <v>0.627</v>
      </c>
    </row>
    <row r="39" spans="1:12" x14ac:dyDescent="0.2">
      <c r="A39" s="4" t="s">
        <v>31</v>
      </c>
      <c r="B39" s="4">
        <v>0.66400000000000003</v>
      </c>
      <c r="C39" s="4">
        <v>0.66300000000000003</v>
      </c>
      <c r="D39" s="4">
        <v>0.622</v>
      </c>
      <c r="E39" s="4">
        <v>0.60699999999999998</v>
      </c>
      <c r="F39" s="4">
        <f>IF('R9'!$S$34="No",$E39,ROUND(E39*1.03,3))</f>
        <v>0.625</v>
      </c>
      <c r="G39" s="4">
        <f>IF('R9'!$S$34="No",$E39,ROUND(F39*1.03,3))</f>
        <v>0.64400000000000002</v>
      </c>
      <c r="H39" s="4">
        <f>IF('R9'!$S$34="No",$E39,ROUND(G39*1.03,3))</f>
        <v>0.66300000000000003</v>
      </c>
      <c r="I39" s="4">
        <f>IF('R9'!$S$34="No",$E39,ROUND(H39*1.03,3))</f>
        <v>0.68300000000000005</v>
      </c>
      <c r="J39" s="4">
        <f>IF('R9'!$S$34="No",$E39,ROUND(I39*1.03,3))</f>
        <v>0.70299999999999996</v>
      </c>
      <c r="K39" s="4">
        <f>IF('R9'!$S$34="No",$E39,ROUND(J39*1.03,3))</f>
        <v>0.72399999999999998</v>
      </c>
      <c r="L39" s="4">
        <f>IF('R9'!$S$34="No",$E39,ROUND(K39*1.03,3))</f>
        <v>0.746</v>
      </c>
    </row>
    <row r="40" spans="1:12" x14ac:dyDescent="0.2">
      <c r="A40" s="4" t="s">
        <v>19</v>
      </c>
      <c r="B40" s="4">
        <v>0.16</v>
      </c>
      <c r="C40" s="4">
        <v>0.17100000000000001</v>
      </c>
      <c r="D40" s="4">
        <v>0.17299999999999999</v>
      </c>
      <c r="E40" s="4">
        <v>0.17299999999999999</v>
      </c>
      <c r="F40" s="4">
        <f>IF('R9'!$S$34="No",$E40,ROUND(E40*1.03,3))</f>
        <v>0.17799999999999999</v>
      </c>
      <c r="G40" s="4">
        <f>IF('R9'!$S$34="No",$E40,ROUND(F40*1.03,3))</f>
        <v>0.183</v>
      </c>
      <c r="H40" s="4">
        <f>IF('R9'!$S$34="No",$E40,ROUND(G40*1.03,3))</f>
        <v>0.188</v>
      </c>
      <c r="I40" s="4">
        <f>IF('R9'!$S$34="No",$E40,ROUND(H40*1.03,3))</f>
        <v>0.19400000000000001</v>
      </c>
      <c r="J40" s="4">
        <f>IF('R9'!$S$34="No",$E40,ROUND(I40*1.03,3))</f>
        <v>0.2</v>
      </c>
      <c r="K40" s="4">
        <f>IF('R9'!$S$34="No",$E40,ROUND(J40*1.03,3))</f>
        <v>0.20599999999999999</v>
      </c>
      <c r="L40" s="4">
        <f>IF('R9'!$S$34="No",$E40,ROUND(K40*1.03,3))</f>
        <v>0.21199999999999999</v>
      </c>
    </row>
    <row r="41" spans="1:12" x14ac:dyDescent="0.2">
      <c r="A41" s="4" t="s">
        <v>32</v>
      </c>
      <c r="B41" s="4">
        <v>1.2999999999999999E-2</v>
      </c>
      <c r="C41" s="4">
        <v>1.2999999999999999E-2</v>
      </c>
      <c r="D41" s="4">
        <v>1.2999999999999999E-2</v>
      </c>
      <c r="E41" s="4">
        <v>1.4999999999999999E-2</v>
      </c>
      <c r="F41" s="4">
        <f>IF('R9'!$S$34="No",$E41,ROUND(E41*1.03,3))</f>
        <v>1.4999999999999999E-2</v>
      </c>
      <c r="G41" s="4">
        <f>IF('R9'!$S$34="No",$E41,ROUND(F41*1.03,3))</f>
        <v>1.4999999999999999E-2</v>
      </c>
      <c r="H41" s="4">
        <f>IF('R9'!$S$34="No",$E41,ROUND(G41*1.03,3))</f>
        <v>1.4999999999999999E-2</v>
      </c>
      <c r="I41" s="4">
        <f>IF('R9'!$S$34="No",$E41,ROUND(H41*1.03,3))</f>
        <v>1.4999999999999999E-2</v>
      </c>
      <c r="J41" s="4">
        <f>IF('R9'!$S$34="No",$E41,ROUND(I41*1.03,3))</f>
        <v>1.4999999999999999E-2</v>
      </c>
      <c r="K41" s="4">
        <f>IF('R9'!$S$34="No",$E41,ROUND(J41*1.03,3))</f>
        <v>1.4999999999999999E-2</v>
      </c>
      <c r="L41" s="4">
        <f>IF('R9'!$S$34="No",$E41,ROUND(K41*1.03,3))</f>
        <v>1.4999999999999999E-2</v>
      </c>
    </row>
    <row r="42" spans="1:12" x14ac:dyDescent="0.2">
      <c r="A42" s="4" t="s">
        <v>33</v>
      </c>
      <c r="B42" s="4">
        <v>0.104</v>
      </c>
      <c r="C42" s="4">
        <v>0.106</v>
      </c>
      <c r="D42" s="4">
        <v>9.0999999999999998E-2</v>
      </c>
      <c r="E42" s="4">
        <v>9.1999999999999998E-2</v>
      </c>
      <c r="F42" s="4">
        <f>IF('R9'!$S$34="No",$E42,ROUND(E42*1.03,3))</f>
        <v>9.5000000000000001E-2</v>
      </c>
      <c r="G42" s="4">
        <f>IF('R9'!$S$34="No",$E42,ROUND(F42*1.03,3))</f>
        <v>9.8000000000000004E-2</v>
      </c>
      <c r="H42" s="4">
        <f>IF('R9'!$S$34="No",$E42,ROUND(G42*1.03,3))</f>
        <v>0.10100000000000001</v>
      </c>
      <c r="I42" s="4">
        <f>IF('R9'!$S$34="No",$E42,ROUND(H42*1.03,3))</f>
        <v>0.104</v>
      </c>
      <c r="J42" s="4">
        <f>IF('R9'!$S$34="No",$E42,ROUND(I42*1.03,3))</f>
        <v>0.107</v>
      </c>
      <c r="K42" s="4">
        <f>IF('R9'!$S$34="No",$E42,ROUND(J42*1.03,3))</f>
        <v>0.11</v>
      </c>
      <c r="L42" s="4">
        <f>IF('R9'!$S$34="No",$E42,ROUND(K42*1.03,3))</f>
        <v>0.113</v>
      </c>
    </row>
    <row r="43" spans="1:12" x14ac:dyDescent="0.2">
      <c r="A43" s="4" t="s">
        <v>22</v>
      </c>
      <c r="B43" s="4">
        <v>3.1E-2</v>
      </c>
      <c r="C43" s="4">
        <v>3.3000000000000002E-2</v>
      </c>
      <c r="D43" s="4">
        <v>3.5999999999999997E-2</v>
      </c>
      <c r="E43" s="4">
        <v>4.7E-2</v>
      </c>
      <c r="F43" s="4">
        <f>IF('R9'!$S$34="No",$E43,ROUND(E43*1.03,3))</f>
        <v>4.8000000000000001E-2</v>
      </c>
      <c r="G43" s="4">
        <f>IF('R9'!$S$34="No",$E43,ROUND(F43*1.03,3))</f>
        <v>4.9000000000000002E-2</v>
      </c>
      <c r="H43" s="4">
        <f>IF('R9'!$S$34="No",$E43,ROUND(G43*1.03,3))</f>
        <v>0.05</v>
      </c>
      <c r="I43" s="4">
        <f>IF('R9'!$S$34="No",$E43,ROUND(H43*1.03,3))</f>
        <v>5.1999999999999998E-2</v>
      </c>
      <c r="J43" s="4">
        <f>IF('R9'!$S$34="No",$E43,ROUND(I43*1.03,3))</f>
        <v>5.3999999999999999E-2</v>
      </c>
      <c r="K43" s="4">
        <f>IF('R9'!$S$34="No",$E43,ROUND(J43*1.03,3))</f>
        <v>5.6000000000000001E-2</v>
      </c>
      <c r="L43" s="4">
        <f>IF('R9'!$S$34="No",$E43,ROUND(K43*1.03,3))</f>
        <v>5.8000000000000003E-2</v>
      </c>
    </row>
    <row r="45" spans="1:12" x14ac:dyDescent="0.2">
      <c r="B45" s="319" t="s">
        <v>9</v>
      </c>
      <c r="C45" s="320"/>
      <c r="D45" s="319" t="s">
        <v>10</v>
      </c>
      <c r="E45" s="320"/>
      <c r="F45" s="319" t="s">
        <v>11</v>
      </c>
      <c r="G45" s="320"/>
      <c r="H45" s="319" t="s">
        <v>24</v>
      </c>
      <c r="I45" s="320"/>
      <c r="J45" s="319" t="s">
        <v>12</v>
      </c>
      <c r="K45" s="320"/>
    </row>
    <row r="46" spans="1:12" x14ac:dyDescent="0.2">
      <c r="A46" s="9" t="s">
        <v>45</v>
      </c>
      <c r="B46" s="261" t="s">
        <v>46</v>
      </c>
      <c r="C46" s="261" t="s">
        <v>47</v>
      </c>
      <c r="D46" s="261" t="s">
        <v>46</v>
      </c>
      <c r="E46" s="261" t="s">
        <v>47</v>
      </c>
      <c r="F46" s="261" t="s">
        <v>46</v>
      </c>
      <c r="G46" s="261" t="s">
        <v>47</v>
      </c>
      <c r="H46" s="261" t="s">
        <v>46</v>
      </c>
      <c r="I46" s="261" t="s">
        <v>47</v>
      </c>
      <c r="J46" s="261" t="s">
        <v>46</v>
      </c>
      <c r="K46" s="261" t="s">
        <v>47</v>
      </c>
    </row>
    <row r="47" spans="1:12" x14ac:dyDescent="0.2">
      <c r="A47" s="4" t="s">
        <v>15</v>
      </c>
      <c r="B47" s="4">
        <f>IF($C$4=B$34,B35,IF(C4=C34,C35,IF(C4=D34,D35,IF(C4=E34,E35,IF(C4=F34,F35,IF(C4=G34,G35,IF(C4=H34,H35)))))))</f>
        <v>0.19500000000000001</v>
      </c>
      <c r="C47" s="4">
        <f>IF(C7=0,B47,IF(C4=B34,C35,IF(C4=C34,D35,IF(C4=D34,E35,IF(C4=E34,F35,IF(C4=F34,G35,IF(C4=G34,H35,IF(C4=H34,I35))))))))</f>
        <v>0.20100000000000001</v>
      </c>
      <c r="D47" s="4">
        <f>IF($D$4="",0,IF($D$4=$C$34,C35,IF($D$4=$D$34,D35,IF($D$4=$E$34,E35,IF($D$4=F34,$F$35,IF($D$4=G34,$G$35,IF($D$4=H34,$H$35)))))))</f>
        <v>0.20100000000000001</v>
      </c>
      <c r="E47" s="4">
        <f>IF($D$4="",0,IF($D$7=0,D47,IF($D$4=$B$34,C35,IF($D$4=$C$34,D35,IF($D$4=$D$34,E35,IF($D$4=$E$34,F35,IF($D$4=$F$34,G35,IF($D$4=$G$34,H35,IF($D$4=$H$34,I35,IF($D$4=$I$34,J35))))))))))</f>
        <v>0.20699999999999999</v>
      </c>
      <c r="F47" s="4">
        <f t="shared" ref="F47:F55" si="11">IF($E$4="",0,IF($E$4=$D$34,D35,IF($E$4=$E$34,E35,IF($E$4=$F$34,F35,IF($E$4=$G$34,G35,IF($E$4=$H$34,H35,IF($E$4=I34,I35,IF($E$4=$J$34,J35))))))))</f>
        <v>0.20699999999999999</v>
      </c>
      <c r="G47" s="4">
        <f>IF($E$4="",0,IF($E$7=0,F47,IF($E$4=$B$34,C35,IF($E$4=$C$34,D35,IF($E$4=$D$34,E35,IF($E$4=$E$34,F35,IF($E$4=$F$34,G35,IF($E$4=$G$34,H35,IF($E$4=$H$34,I35,IF($E$4=$I$34,J35))))))))))</f>
        <v>0.21299999999999999</v>
      </c>
      <c r="H47" s="4">
        <f t="shared" ref="H47:H55" si="12">IF($F$4="",0,IF($F$4=$D$34,D35,IF($F$4=$E$34,E35,IF($F$4=$F$34,F35,IF($F$4=$G$34,G35,IF($F$4=$H$34,H35,IF($F$4=$I$34,I35,IF($F$4=$J$34,J35,IF($F$4=$K$34,K35,)))))))))</f>
        <v>0.21299999999999999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0.219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0.219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0.22600000000000001</v>
      </c>
    </row>
    <row r="48" spans="1:12" x14ac:dyDescent="0.2">
      <c r="A48" s="4" t="s">
        <v>16</v>
      </c>
      <c r="B48" s="4">
        <f t="shared" ref="B48:B55" si="16">IF($C$4=$B$34,B36,IF($C$4=$C$34,C36,IF($C$4=$D$34,D36,IF($C$4=$E$34,E36,IF($C$4=$F$34,F36,IF($C$4=$G$34,G36,IF($C$4=$H$34,H36)))))))</f>
        <v>0.30499999999999999</v>
      </c>
      <c r="C48" s="4">
        <f t="shared" ref="C48:C55" si="17">IF($C$7=0,B48,IF($C$4=$B$34,C36,IF($C$4=$C$34,D36,IF($C$4=$D$34,E36,IF($C$4=$E$34,F36,IF($C$4=$F$34,G36,IF($C$4=$G$34,H36,IF($C$4=$H$34,I36))))))))</f>
        <v>0.314</v>
      </c>
      <c r="D48" s="4">
        <f t="shared" ref="D48:D55" si="18">IF($D$4="",0,IF($D$4=$C$34,C36,IF($D$4=$D$34,D36,IF($D$4=$E$34,E36,IF($D$4=$F$34,F36,IF($D$4=$G$34,G36,IF($D$4=$H$34,H36)))))))</f>
        <v>0.314</v>
      </c>
      <c r="E48" s="4">
        <f t="shared" ref="E48:E55" si="19">IF($D$4="",0,IF($D$7=0,D48,IF($D$4=$B$34,C36,IF($D$4=$C$34,D36,IF($D$4=$D$34,E36,IF($D$4=$E$34,F36,IF($D$4=$F$34,G36,IF($D$4=$G$34,H36,IF($D$4=$H$34,I36,IF($D$4=$I$34,J36))))))))))</f>
        <v>0.32300000000000001</v>
      </c>
      <c r="F48" s="4">
        <f t="shared" si="11"/>
        <v>0.32300000000000001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0.33300000000000002</v>
      </c>
      <c r="H48" s="4">
        <f t="shared" si="12"/>
        <v>0.33300000000000002</v>
      </c>
      <c r="I48" s="4">
        <f t="shared" si="13"/>
        <v>0.34300000000000003</v>
      </c>
      <c r="J48" s="4">
        <f t="shared" si="14"/>
        <v>0.34300000000000003</v>
      </c>
      <c r="K48" s="4">
        <f t="shared" si="15"/>
        <v>0.35299999999999998</v>
      </c>
    </row>
    <row r="49" spans="1:11" x14ac:dyDescent="0.2">
      <c r="A49" s="4" t="s">
        <v>30</v>
      </c>
      <c r="B49" s="4">
        <f t="shared" si="16"/>
        <v>0.38900000000000001</v>
      </c>
      <c r="C49" s="4">
        <f t="shared" si="17"/>
        <v>0.40100000000000002</v>
      </c>
      <c r="D49" s="4">
        <f t="shared" si="18"/>
        <v>0.40100000000000002</v>
      </c>
      <c r="E49" s="4">
        <f t="shared" si="19"/>
        <v>0.41299999999999998</v>
      </c>
      <c r="F49" s="4">
        <f t="shared" si="11"/>
        <v>0.41299999999999998</v>
      </c>
      <c r="G49" s="4">
        <f t="shared" si="20"/>
        <v>0.42499999999999999</v>
      </c>
      <c r="H49" s="4">
        <f t="shared" si="12"/>
        <v>0.42499999999999999</v>
      </c>
      <c r="I49" s="4">
        <f t="shared" si="13"/>
        <v>0.438</v>
      </c>
      <c r="J49" s="4">
        <f t="shared" si="14"/>
        <v>0.438</v>
      </c>
      <c r="K49" s="4">
        <f t="shared" si="15"/>
        <v>0.45100000000000001</v>
      </c>
    </row>
    <row r="50" spans="1:11" x14ac:dyDescent="0.2">
      <c r="A50" s="4" t="s">
        <v>20</v>
      </c>
      <c r="B50" s="4">
        <f t="shared" si="16"/>
        <v>0.51</v>
      </c>
      <c r="C50" s="4">
        <f t="shared" si="17"/>
        <v>0.52500000000000002</v>
      </c>
      <c r="D50" s="4">
        <f t="shared" si="18"/>
        <v>0.52500000000000002</v>
      </c>
      <c r="E50" s="4">
        <f t="shared" si="19"/>
        <v>0.54100000000000004</v>
      </c>
      <c r="F50" s="4">
        <f t="shared" si="11"/>
        <v>0.54100000000000004</v>
      </c>
      <c r="G50" s="4">
        <f t="shared" si="20"/>
        <v>0.55700000000000005</v>
      </c>
      <c r="H50" s="4">
        <f t="shared" si="12"/>
        <v>0.55700000000000005</v>
      </c>
      <c r="I50" s="4">
        <f t="shared" si="13"/>
        <v>0.57399999999999995</v>
      </c>
      <c r="J50" s="4">
        <f t="shared" si="14"/>
        <v>0.57399999999999995</v>
      </c>
      <c r="K50" s="4">
        <f t="shared" si="15"/>
        <v>0.59099999999999997</v>
      </c>
    </row>
    <row r="51" spans="1:11" x14ac:dyDescent="0.2">
      <c r="A51" s="4" t="s">
        <v>31</v>
      </c>
      <c r="B51" s="4">
        <f t="shared" si="16"/>
        <v>0.60699999999999998</v>
      </c>
      <c r="C51" s="4">
        <f t="shared" si="17"/>
        <v>0.625</v>
      </c>
      <c r="D51" s="4">
        <f t="shared" si="18"/>
        <v>0.625</v>
      </c>
      <c r="E51" s="4">
        <f t="shared" si="19"/>
        <v>0.64400000000000002</v>
      </c>
      <c r="F51" s="4">
        <f t="shared" si="11"/>
        <v>0.64400000000000002</v>
      </c>
      <c r="G51" s="4">
        <f t="shared" si="20"/>
        <v>0.66300000000000003</v>
      </c>
      <c r="H51" s="4">
        <f t="shared" si="12"/>
        <v>0.66300000000000003</v>
      </c>
      <c r="I51" s="4">
        <f t="shared" si="13"/>
        <v>0.68300000000000005</v>
      </c>
      <c r="J51" s="4">
        <f t="shared" si="14"/>
        <v>0.68300000000000005</v>
      </c>
      <c r="K51" s="4">
        <f t="shared" si="15"/>
        <v>0.70299999999999996</v>
      </c>
    </row>
    <row r="52" spans="1:11" x14ac:dyDescent="0.2">
      <c r="A52" s="4" t="s">
        <v>19</v>
      </c>
      <c r="B52" s="4">
        <f t="shared" si="16"/>
        <v>0.17299999999999999</v>
      </c>
      <c r="C52" s="4">
        <f t="shared" si="17"/>
        <v>0.17799999999999999</v>
      </c>
      <c r="D52" s="4">
        <f t="shared" si="18"/>
        <v>0.17799999999999999</v>
      </c>
      <c r="E52" s="4">
        <f t="shared" si="19"/>
        <v>0.183</v>
      </c>
      <c r="F52" s="4">
        <f t="shared" si="11"/>
        <v>0.183</v>
      </c>
      <c r="G52" s="4">
        <f t="shared" si="20"/>
        <v>0.188</v>
      </c>
      <c r="H52" s="4">
        <f t="shared" si="12"/>
        <v>0.188</v>
      </c>
      <c r="I52" s="4">
        <f t="shared" si="13"/>
        <v>0.19400000000000001</v>
      </c>
      <c r="J52" s="4">
        <f t="shared" si="14"/>
        <v>0.19400000000000001</v>
      </c>
      <c r="K52" s="4">
        <f t="shared" si="15"/>
        <v>0.2</v>
      </c>
    </row>
    <row r="53" spans="1:11" x14ac:dyDescent="0.2">
      <c r="A53" s="4" t="s">
        <v>32</v>
      </c>
      <c r="B53" s="4">
        <f t="shared" si="16"/>
        <v>1.4999999999999999E-2</v>
      </c>
      <c r="C53" s="4">
        <f t="shared" si="17"/>
        <v>1.4999999999999999E-2</v>
      </c>
      <c r="D53" s="20">
        <f t="shared" si="18"/>
        <v>1.4999999999999999E-2</v>
      </c>
      <c r="E53" s="20">
        <f t="shared" si="19"/>
        <v>1.4999999999999999E-2</v>
      </c>
      <c r="F53" s="20">
        <f t="shared" si="11"/>
        <v>1.4999999999999999E-2</v>
      </c>
      <c r="G53" s="20">
        <f t="shared" si="20"/>
        <v>1.4999999999999999E-2</v>
      </c>
      <c r="H53" s="4">
        <f t="shared" si="12"/>
        <v>1.4999999999999999E-2</v>
      </c>
      <c r="I53" s="4">
        <f t="shared" si="13"/>
        <v>1.4999999999999999E-2</v>
      </c>
      <c r="J53" s="4">
        <f t="shared" si="14"/>
        <v>1.4999999999999999E-2</v>
      </c>
      <c r="K53" s="4">
        <f t="shared" si="15"/>
        <v>1.4999999999999999E-2</v>
      </c>
    </row>
    <row r="54" spans="1:11" x14ac:dyDescent="0.2">
      <c r="A54" s="4" t="s">
        <v>33</v>
      </c>
      <c r="B54" s="4">
        <f t="shared" si="16"/>
        <v>9.1999999999999998E-2</v>
      </c>
      <c r="C54" s="4">
        <f t="shared" si="17"/>
        <v>9.5000000000000001E-2</v>
      </c>
      <c r="D54" s="4">
        <f t="shared" si="18"/>
        <v>9.5000000000000001E-2</v>
      </c>
      <c r="E54" s="4">
        <f t="shared" si="19"/>
        <v>9.8000000000000004E-2</v>
      </c>
      <c r="F54" s="4">
        <f t="shared" si="11"/>
        <v>9.8000000000000004E-2</v>
      </c>
      <c r="G54" s="4">
        <f t="shared" si="20"/>
        <v>0.10100000000000001</v>
      </c>
      <c r="H54" s="4">
        <f t="shared" si="12"/>
        <v>0.10100000000000001</v>
      </c>
      <c r="I54" s="4">
        <f t="shared" si="13"/>
        <v>0.104</v>
      </c>
      <c r="J54" s="4">
        <f t="shared" si="14"/>
        <v>0.104</v>
      </c>
      <c r="K54" s="4">
        <f t="shared" si="15"/>
        <v>0.107</v>
      </c>
    </row>
    <row r="55" spans="1:11" x14ac:dyDescent="0.2">
      <c r="A55" s="4" t="s">
        <v>22</v>
      </c>
      <c r="B55" s="4">
        <f t="shared" si="16"/>
        <v>4.7E-2</v>
      </c>
      <c r="C55" s="4">
        <f t="shared" si="17"/>
        <v>4.8000000000000001E-2</v>
      </c>
      <c r="D55" s="4">
        <f t="shared" si="18"/>
        <v>4.8000000000000001E-2</v>
      </c>
      <c r="E55" s="4">
        <f t="shared" si="19"/>
        <v>4.9000000000000002E-2</v>
      </c>
      <c r="F55" s="4">
        <f t="shared" si="11"/>
        <v>4.9000000000000002E-2</v>
      </c>
      <c r="G55" s="4">
        <f t="shared" si="20"/>
        <v>0.05</v>
      </c>
      <c r="H55" s="4">
        <f t="shared" si="12"/>
        <v>0.05</v>
      </c>
      <c r="I55" s="4">
        <f t="shared" si="13"/>
        <v>5.1999999999999998E-2</v>
      </c>
      <c r="J55" s="4">
        <f t="shared" si="14"/>
        <v>5.1999999999999998E-2</v>
      </c>
      <c r="K55" s="4">
        <f t="shared" si="15"/>
        <v>5.3999999999999999E-2</v>
      </c>
    </row>
    <row r="56" spans="1:11" x14ac:dyDescent="0.2">
      <c r="A56" s="4" t="s">
        <v>51</v>
      </c>
      <c r="B56" s="4">
        <f>B52</f>
        <v>0.17299999999999999</v>
      </c>
      <c r="C56" s="4">
        <f t="shared" ref="C56:K56" si="21">C52</f>
        <v>0.17799999999999999</v>
      </c>
      <c r="D56" s="4">
        <f t="shared" si="21"/>
        <v>0.17799999999999999</v>
      </c>
      <c r="E56" s="4">
        <f t="shared" si="21"/>
        <v>0.183</v>
      </c>
      <c r="F56" s="4">
        <f t="shared" si="21"/>
        <v>0.183</v>
      </c>
      <c r="G56" s="4">
        <f>G52</f>
        <v>0.188</v>
      </c>
      <c r="H56" s="4">
        <f t="shared" si="21"/>
        <v>0.188</v>
      </c>
      <c r="I56" s="4">
        <f t="shared" si="21"/>
        <v>0.19400000000000001</v>
      </c>
      <c r="J56" s="4">
        <f t="shared" si="21"/>
        <v>0.19400000000000001</v>
      </c>
      <c r="K56" s="4">
        <f t="shared" si="21"/>
        <v>0.2</v>
      </c>
    </row>
    <row r="58" spans="1:11" x14ac:dyDescent="0.2">
      <c r="A58" s="9" t="s">
        <v>52</v>
      </c>
      <c r="B58" s="261" t="s">
        <v>9</v>
      </c>
      <c r="C58" s="261" t="s">
        <v>10</v>
      </c>
      <c r="D58" s="261" t="s">
        <v>11</v>
      </c>
      <c r="E58" s="261" t="s">
        <v>24</v>
      </c>
      <c r="F58" s="261" t="s">
        <v>12</v>
      </c>
    </row>
    <row r="59" spans="1:11" x14ac:dyDescent="0.2">
      <c r="A59" s="4" t="s">
        <v>15</v>
      </c>
      <c r="B59" s="259" t="str">
        <f t="shared" ref="B59:B66" si="22">IF(B47&lt;&gt;C47,(B47*100)&amp;"/"&amp;C47*100,B47*100)</f>
        <v>19.5/20.1</v>
      </c>
      <c r="C59" s="259" t="str">
        <f>IF(D4="","",(IF(D47&lt;&gt;E47,(D47*100)&amp;"/"&amp;E47*100,D47*100)))</f>
        <v>20.1/20.7</v>
      </c>
      <c r="D59" s="259" t="str">
        <f>IF(E4="","",(IF(F47&lt;&gt;G47,(F47*100)&amp;"/"&amp;G47*100,F47*100)))</f>
        <v>20.7/21.3</v>
      </c>
      <c r="E59" s="259" t="str">
        <f>IF(F4="","",(IF(H47&lt;&gt;I47,(H47*100)&amp;"/"&amp;I47*100,H47*100)))</f>
        <v>21.3/21.9</v>
      </c>
      <c r="F59" s="259" t="str">
        <f>IF(G4="","",(IF(J47&lt;&gt;K47,(J47*100)&amp;"/"&amp;K47*100,J47*100)))</f>
        <v>21.9/22.6</v>
      </c>
    </row>
    <row r="60" spans="1:11" x14ac:dyDescent="0.2">
      <c r="A60" s="4" t="s">
        <v>16</v>
      </c>
      <c r="B60" s="259" t="str">
        <f t="shared" si="22"/>
        <v>30.5/31.4</v>
      </c>
      <c r="C60" s="259" t="str">
        <f>IF(D4="","",(IF(D48&lt;&gt;E48,(D48*100)&amp;"/"&amp;E48*100,D48*100)))</f>
        <v>31.4/32.3</v>
      </c>
      <c r="D60" s="259" t="str">
        <f>IF(E4="","",(IF(F48&lt;&gt;G48,(F48*100)&amp;"/"&amp;G48*100,F48*100)))</f>
        <v>32.3/33.3</v>
      </c>
      <c r="E60" s="259" t="str">
        <f>IF(F4="","",(IF(H48&lt;&gt;I48,(H48*100)&amp;"/"&amp;I48*100,H48*100)))</f>
        <v>33.3/34.3</v>
      </c>
      <c r="F60" s="259" t="str">
        <f>IF(G4="","",(IF(J48&lt;&gt;K48,(J48*100)&amp;"/"&amp;K48*100,J48*100)))</f>
        <v>34.3/35.3</v>
      </c>
    </row>
    <row r="61" spans="1:11" x14ac:dyDescent="0.2">
      <c r="A61" s="4" t="s">
        <v>30</v>
      </c>
      <c r="B61" s="259" t="str">
        <f t="shared" si="22"/>
        <v>38.9/40.1</v>
      </c>
      <c r="C61" s="259" t="str">
        <f>IF(D4="","",(IF(D49&lt;&gt;E49,(D49*100)&amp;"/"&amp;E49*100,D49*100)))</f>
        <v>40.1/41.3</v>
      </c>
      <c r="D61" s="259" t="str">
        <f>IF(E4="","",(IF(F49&lt;&gt;G49,(F49*100)&amp;"/"&amp;G49*100,F49*100)))</f>
        <v>41.3/42.5</v>
      </c>
      <c r="E61" s="259" t="str">
        <f>IF(F4="","",(IF(H49&lt;&gt;I49,(H49*100)&amp;"/"&amp;I49*100,H49*100)))</f>
        <v>42.5/43.8</v>
      </c>
      <c r="F61" s="259" t="str">
        <f>IF(G4="","",(IF(J49&lt;&gt;K49,(J49*100)&amp;"/"&amp;K49*100,J49*100)))</f>
        <v>43.8/45.1</v>
      </c>
    </row>
    <row r="62" spans="1:11" x14ac:dyDescent="0.2">
      <c r="A62" s="4" t="s">
        <v>20</v>
      </c>
      <c r="B62" s="259" t="str">
        <f t="shared" si="22"/>
        <v>51/52.5</v>
      </c>
      <c r="C62" s="259" t="str">
        <f>IF(D4="","",(IF(D50&lt;&gt;E50,(D50*100)&amp;"/"&amp;E50*100,D50*100)))</f>
        <v>52.5/54.1</v>
      </c>
      <c r="D62" s="259" t="str">
        <f>IF(E4="","",(IF(F50&lt;&gt;G50,(F50*100)&amp;"/"&amp;G50*100,F50*100)))</f>
        <v>54.1/55.7</v>
      </c>
      <c r="E62" s="259" t="str">
        <f>IF(F4="","",(IF(H50&lt;&gt;I50,(H50*100)&amp;"/"&amp;I50*100,H50*100)))</f>
        <v>55.7/57.4</v>
      </c>
      <c r="F62" s="259" t="str">
        <f>IF(G4="","",(IF(J50&lt;&gt;K50,(J50*100)&amp;"/"&amp;K50*100,J50*100)))</f>
        <v>57.4/59.1</v>
      </c>
    </row>
    <row r="63" spans="1:11" x14ac:dyDescent="0.2">
      <c r="A63" s="4" t="s">
        <v>31</v>
      </c>
      <c r="B63" s="259" t="str">
        <f t="shared" si="22"/>
        <v>60.7/62.5</v>
      </c>
      <c r="C63" s="259" t="str">
        <f>IF(D4="","",(IF(D51&lt;&gt;E51,(D51*100)&amp;"/"&amp;E51*100,D51*100)))</f>
        <v>62.5/64.4</v>
      </c>
      <c r="D63" s="259" t="str">
        <f>IF(E4="","",(IF(F51&lt;&gt;G51,(F51*100)&amp;"/"&amp;G51*100,F51*100)))</f>
        <v>64.4/66.3</v>
      </c>
      <c r="E63" s="259" t="str">
        <f>IF(F4="","",(IF(H51&lt;&gt;I51,(H51*100)&amp;"/"&amp;I51*100,H51*100)))</f>
        <v>66.3/68.3</v>
      </c>
      <c r="F63" s="259" t="str">
        <f>IF(G4="","",(IF(J51&lt;&gt;K51,(J51*100)&amp;"/"&amp;K51*100,J51*100)))</f>
        <v>68.3/70.3</v>
      </c>
    </row>
    <row r="64" spans="1:11" x14ac:dyDescent="0.2">
      <c r="A64" s="4" t="s">
        <v>19</v>
      </c>
      <c r="B64" s="259" t="str">
        <f t="shared" si="22"/>
        <v>17.3/17.8</v>
      </c>
      <c r="C64" s="259" t="str">
        <f>IF(D4="","",(IF(D4="","",(IF(D52&lt;&gt;E52,(D52*100)&amp;"/"&amp;E52*100,D52*100)))))</f>
        <v>17.8/18.3</v>
      </c>
      <c r="D64" s="259" t="str">
        <f>IF(E4="","",(IF(F52&lt;&gt;G52,(F52*100)&amp;"/"&amp;G52*100,F52*100)))</f>
        <v>18.3/18.8</v>
      </c>
      <c r="E64" s="259" t="str">
        <f>IF(F4="","",(IF(H52&lt;&gt;I52,(H52*100)&amp;"/"&amp;I52*100,H52*100)))</f>
        <v>18.8/19.4</v>
      </c>
      <c r="F64" s="259" t="str">
        <f>IF(G4="","",(IF(J52&lt;&gt;K52,(J52*100)&amp;"/"&amp;K52*100,J52*100)))</f>
        <v>19.4/20</v>
      </c>
    </row>
    <row r="65" spans="1:12" x14ac:dyDescent="0.2">
      <c r="A65" s="4" t="s">
        <v>32</v>
      </c>
      <c r="B65" s="259">
        <f t="shared" si="22"/>
        <v>1.5</v>
      </c>
      <c r="C65" s="259">
        <f>IF(D4="","",(IF(D53&lt;&gt;E53,(D53*100)&amp;"/"&amp;E53*100,D53*100)))</f>
        <v>1.5</v>
      </c>
      <c r="D65" s="259">
        <f>IF(E4="","",(IF(F53&lt;&gt;G53,(F53*100)&amp;"/"&amp;G53*100,F53*100)))</f>
        <v>1.5</v>
      </c>
      <c r="E65" s="259">
        <f>IF(F4="","",(IF(H53&lt;&gt;I53,(H53*100)&amp;"/"&amp;I53*100,H53*100)))</f>
        <v>1.5</v>
      </c>
      <c r="F65" s="259">
        <f>IF(G4="","",(IF(J53&lt;&gt;K53,(J53*100)&amp;"/"&amp;K53*100,J53*100)))</f>
        <v>1.5</v>
      </c>
    </row>
    <row r="66" spans="1:12" x14ac:dyDescent="0.2">
      <c r="A66" s="4" t="s">
        <v>33</v>
      </c>
      <c r="B66" s="259" t="str">
        <f t="shared" si="22"/>
        <v>9.2/9.5</v>
      </c>
      <c r="C66" s="259" t="str">
        <f>IF(D4="","",(IF(D54&lt;&gt;E54,(D54*100)&amp;"/"&amp;E54*100,D54*100)))</f>
        <v>9.5/9.8</v>
      </c>
      <c r="D66" s="259" t="str">
        <f>IF(E4="","",(IF(F54&lt;&gt;G54,(F54*100)&amp;"/"&amp;G54*100,F54*100)))</f>
        <v>9.8/10.1</v>
      </c>
      <c r="E66" s="259" t="str">
        <f>IF(F4="","",(IF(H54&lt;&gt;I54,(H54*100)&amp;"/"&amp;I54*100,H54*100)))</f>
        <v>10.1/10.4</v>
      </c>
      <c r="F66" s="259" t="str">
        <f>IF(G4="","",(IF(J54&lt;&gt;K54,(J54*100)&amp;"/"&amp;K54*100,J54*100)))</f>
        <v>10.4/10.7</v>
      </c>
    </row>
    <row r="67" spans="1:12" x14ac:dyDescent="0.2">
      <c r="A67" s="4" t="s">
        <v>22</v>
      </c>
      <c r="B67" s="259" t="str">
        <f>IF(B55&lt;&gt;C55,(B55*100)&amp;"/"&amp;C55*100,B55*100)</f>
        <v>4.7/4.8</v>
      </c>
      <c r="C67" s="259" t="str">
        <f>IF(D4="","",(IF(D55&lt;&gt;E55,(D55*100)&amp;"/"&amp;E55*100,D55*100)))</f>
        <v>4.8/4.9</v>
      </c>
      <c r="D67" s="259" t="str">
        <f>IF(E4="","",(IF(F55&lt;&gt;G55,(F55*100)&amp;"/"&amp;G55*100,F55*100)))</f>
        <v>4.9/5</v>
      </c>
      <c r="E67" s="259" t="str">
        <f>IF(F4="","",(IF(H55&lt;&gt;I55,(H55*100)&amp;"/"&amp;I55*100,H55*100)))</f>
        <v>5/5.2</v>
      </c>
      <c r="F67" s="259" t="str">
        <f>IF(G4="","",(IF(J55&lt;&gt;K55,(J55*100)&amp;"/"&amp;K55*100,J55*100)))</f>
        <v>5.2/5.4</v>
      </c>
    </row>
    <row r="68" spans="1:12" x14ac:dyDescent="0.2">
      <c r="A68" s="4" t="s">
        <v>141</v>
      </c>
      <c r="B68" s="259" t="str">
        <f>IF(B56&lt;&gt;C56,(B56*100)&amp;"/"&amp;C56*100,B56*100)</f>
        <v>17.3/17.8</v>
      </c>
      <c r="C68" s="259" t="str">
        <f>IF(D4=0,"",(IF(D56&lt;&gt;E56,(D56*100)&amp;"/"&amp;E56*100,D56*100)))</f>
        <v>17.8/18.3</v>
      </c>
      <c r="D68" s="259" t="str">
        <f>IF(E4=0,"",(IF(F56&lt;&gt;G56,(F56*100)&amp;"/"&amp;G56*100,F56*100)))</f>
        <v>18.3/18.8</v>
      </c>
      <c r="E68" s="259" t="str">
        <f>IF(F4=0,"",(IF(H56&lt;&gt;I56,(H56*100)&amp;"/"&amp;I56*100,H56*100)))</f>
        <v>18.8/19.4</v>
      </c>
      <c r="F68" s="259" t="str">
        <f>IF(G4=0,"",(IF(J56&lt;&gt;K56,(J56*100)&amp;"/"&amp;K56*100,J56*100)))</f>
        <v>19.4/20</v>
      </c>
    </row>
    <row r="69" spans="1:12" x14ac:dyDescent="0.2">
      <c r="A69" s="4" t="s">
        <v>142</v>
      </c>
      <c r="B69" s="259">
        <f>IF(C13&lt;=0.5,C56*100,B68)</f>
        <v>17.8</v>
      </c>
      <c r="C69" s="259">
        <f>IF(D13&lt;=0.5,E56*100,C68)</f>
        <v>18.3</v>
      </c>
      <c r="D69" s="259">
        <f>IF(E13&lt;=0.5,G56*100,D68)</f>
        <v>18.8</v>
      </c>
      <c r="E69" s="259">
        <f>IF(F13&lt;=0.5,I56*100,E68)</f>
        <v>19.400000000000002</v>
      </c>
      <c r="F69" s="259">
        <f>IF(G13=0.5,K56*100,F68)</f>
        <v>20</v>
      </c>
    </row>
    <row r="70" spans="1:12" x14ac:dyDescent="0.2">
      <c r="A70" s="4" t="s">
        <v>143</v>
      </c>
      <c r="B70" s="259">
        <f>IF(C13=1,C56*100,B69)</f>
        <v>17.8</v>
      </c>
      <c r="C70" s="259">
        <f>IF(D13=1,E56*100,C69)</f>
        <v>18.3</v>
      </c>
      <c r="D70" s="259">
        <f>IF(E13=1,G56*100,D69)</f>
        <v>18.8</v>
      </c>
      <c r="E70" s="259">
        <f>IF(F13=0.5,I56*100,E69)</f>
        <v>19.400000000000002</v>
      </c>
      <c r="F70" s="259" t="str">
        <f>IF(G13=1,K56*100,F68)</f>
        <v>19.4/20</v>
      </c>
    </row>
    <row r="71" spans="1:12" x14ac:dyDescent="0.2">
      <c r="A71" s="4" t="s">
        <v>52</v>
      </c>
      <c r="B71" s="259"/>
      <c r="C71" s="259"/>
      <c r="D71" s="259"/>
      <c r="E71" s="259"/>
      <c r="F71" s="259"/>
    </row>
    <row r="73" spans="1:12" x14ac:dyDescent="0.2">
      <c r="A73" s="2" t="s">
        <v>87</v>
      </c>
    </row>
    <row r="74" spans="1:12" x14ac:dyDescent="0.2">
      <c r="A74" s="9" t="s">
        <v>96</v>
      </c>
      <c r="B74" s="260" t="s">
        <v>34</v>
      </c>
      <c r="C74" s="260" t="s">
        <v>35</v>
      </c>
      <c r="D74" s="260" t="s">
        <v>44</v>
      </c>
      <c r="E74" s="260" t="s">
        <v>36</v>
      </c>
      <c r="F74" s="260" t="s">
        <v>37</v>
      </c>
      <c r="G74" s="260" t="s">
        <v>38</v>
      </c>
      <c r="H74" s="260" t="s">
        <v>39</v>
      </c>
      <c r="I74" s="260" t="s">
        <v>40</v>
      </c>
      <c r="J74" s="260" t="s">
        <v>41</v>
      </c>
      <c r="K74" s="260" t="s">
        <v>42</v>
      </c>
      <c r="L74" s="260" t="s">
        <v>43</v>
      </c>
    </row>
    <row r="75" spans="1:12" x14ac:dyDescent="0.2">
      <c r="A75" s="4" t="s">
        <v>88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89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90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91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92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93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94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96</v>
      </c>
      <c r="B84" s="319" t="s">
        <v>9</v>
      </c>
      <c r="C84" s="320"/>
      <c r="D84" s="319" t="s">
        <v>10</v>
      </c>
      <c r="E84" s="320"/>
      <c r="F84" s="319" t="s">
        <v>11</v>
      </c>
      <c r="G84" s="320"/>
      <c r="H84" s="319" t="s">
        <v>24</v>
      </c>
      <c r="I84" s="320"/>
      <c r="J84" s="319" t="s">
        <v>12</v>
      </c>
      <c r="K84" s="320"/>
    </row>
    <row r="85" spans="1:12" x14ac:dyDescent="0.2">
      <c r="A85" s="9"/>
      <c r="B85" s="261" t="s">
        <v>46</v>
      </c>
      <c r="C85" s="261" t="s">
        <v>47</v>
      </c>
      <c r="D85" s="261" t="s">
        <v>46</v>
      </c>
      <c r="E85" s="261" t="s">
        <v>47</v>
      </c>
      <c r="F85" s="261" t="s">
        <v>46</v>
      </c>
      <c r="G85" s="261" t="s">
        <v>47</v>
      </c>
      <c r="H85" s="261" t="s">
        <v>46</v>
      </c>
      <c r="I85" s="261" t="s">
        <v>47</v>
      </c>
      <c r="J85" s="261" t="s">
        <v>46</v>
      </c>
      <c r="K85" s="261" t="s">
        <v>47</v>
      </c>
    </row>
    <row r="86" spans="1:12" x14ac:dyDescent="0.2">
      <c r="A86" s="4" t="s">
        <v>88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2">
      <c r="A87" s="4" t="s">
        <v>89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90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2">
      <c r="A89" s="4" t="s">
        <v>91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2">
      <c r="A90" s="4" t="s">
        <v>92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99</v>
      </c>
      <c r="B91" s="26">
        <f>'R9'!$L$210</f>
        <v>0.2</v>
      </c>
      <c r="C91" s="26">
        <f>'R9'!$L$210</f>
        <v>0.2</v>
      </c>
      <c r="D91" s="26">
        <f>'R9'!$L$210</f>
        <v>0.2</v>
      </c>
      <c r="E91" s="26">
        <f>'R9'!$L$210</f>
        <v>0.2</v>
      </c>
      <c r="F91" s="26">
        <f>'R9'!$L$210</f>
        <v>0.2</v>
      </c>
      <c r="G91" s="26">
        <f>'R9'!$L$210</f>
        <v>0.2</v>
      </c>
      <c r="H91" s="26">
        <f>'R9'!$L$210</f>
        <v>0.2</v>
      </c>
      <c r="I91" s="26">
        <f>'R9'!$L$210</f>
        <v>0.2</v>
      </c>
      <c r="J91" s="26">
        <f>'R9'!$L$210</f>
        <v>0.2</v>
      </c>
      <c r="K91" s="26">
        <f>'R9'!$L$210</f>
        <v>0.2</v>
      </c>
    </row>
    <row r="92" spans="1:12" x14ac:dyDescent="0.2">
      <c r="A92" s="4" t="s">
        <v>93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94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107</v>
      </c>
      <c r="B95" s="319" t="s">
        <v>9</v>
      </c>
      <c r="C95" s="320"/>
      <c r="D95" s="319" t="s">
        <v>10</v>
      </c>
      <c r="E95" s="320"/>
      <c r="F95" s="319" t="s">
        <v>11</v>
      </c>
      <c r="G95" s="320"/>
      <c r="H95" s="319" t="s">
        <v>24</v>
      </c>
      <c r="I95" s="320"/>
      <c r="J95" s="319" t="s">
        <v>12</v>
      </c>
      <c r="K95" s="320"/>
    </row>
    <row r="96" spans="1:12" x14ac:dyDescent="0.2">
      <c r="B96" s="261" t="s">
        <v>46</v>
      </c>
      <c r="C96" s="261" t="s">
        <v>47</v>
      </c>
      <c r="D96" s="261" t="s">
        <v>46</v>
      </c>
      <c r="E96" s="261" t="s">
        <v>47</v>
      </c>
      <c r="F96" s="261" t="s">
        <v>46</v>
      </c>
      <c r="G96" s="261" t="s">
        <v>47</v>
      </c>
      <c r="H96" s="261" t="s">
        <v>46</v>
      </c>
      <c r="I96" s="261" t="s">
        <v>47</v>
      </c>
      <c r="J96" s="261" t="s">
        <v>46</v>
      </c>
      <c r="K96" s="261" t="s">
        <v>47</v>
      </c>
    </row>
    <row r="97" spans="1:11" x14ac:dyDescent="0.2">
      <c r="B97" s="117">
        <f>IF('R9'!F208='W9'!A86,'W9'!B86,IF('R9'!F208='W9'!A87,'W9'!B87,IF('R9'!F208='W9'!A88,'W9'!B88,IF('R9'!F208='W9'!A89,'W9'!B89,IF('R9'!F208='W9'!A90,'W9'!B90,IF('R9'!F208='W9'!A91,'W9'!B91))))))</f>
        <v>0.56999999999999995</v>
      </c>
      <c r="C97" s="37">
        <f>IF('R9'!F208='W9'!A86,'W9'!C86,IF('R9'!F208='W9'!A87,'W9'!C87,IF('R9'!F208='W9'!A88,'W9'!C88,IF('R9'!F208='W9'!A89,'W9'!C89,IF('R9'!F208='W9'!A90,'W9'!C90,IF('R9'!F208='W9'!A91,'W9'!C91))))))</f>
        <v>0.56999999999999995</v>
      </c>
      <c r="D97" s="37">
        <f>IF('R9'!$F$208='W9'!$A$86,'W9'!D86,IF('R9'!$F$208='W9'!$A$87,'W9'!D87,IF('R9'!$F$208='W9'!$A$88,'W9'!D88,IF('R9'!$F$208='W9'!$A$89,'W9'!D89,IF('R9'!$F$208='W9'!$A$90,'W9'!D90,IF('R9'!$F$208='W9'!$A$91,'W9'!D91))))))</f>
        <v>0.56999999999999995</v>
      </c>
      <c r="E97" s="37">
        <f>IF('R9'!$F$208='W9'!$A$86,'W9'!E86,IF('R9'!$F$208='W9'!$A$87,'W9'!E87,IF('R9'!$F$208='W9'!$A$88,'W9'!E88,IF('R9'!$F$208='W9'!$A$89,'W9'!E89,IF('R9'!$F$208='W9'!$A$90,'W9'!E90,IF('R9'!$F$208='W9'!$A$91,'W9'!E91))))))</f>
        <v>0.56999999999999995</v>
      </c>
      <c r="F97" s="37">
        <f>IF('R9'!$F$208='W9'!$A$86,'W9'!F86,IF('R9'!$F$208='W9'!$A$87,'W9'!F87,IF('R9'!$F$208='W9'!$A$88,'W9'!F88,IF('R9'!$F$208='W9'!$A$89,'W9'!F89,IF('R9'!$F$208='W9'!$A$90,'W9'!F90,IF('R9'!$F$208='W9'!$A$91,'W9'!F91))))))</f>
        <v>0.56999999999999995</v>
      </c>
      <c r="G97" s="37">
        <f>IF('R9'!$F$208='W9'!$A$86,'W9'!G86,IF('R9'!$F$208='W9'!$A$87,'W9'!G87,IF('R9'!$F$208='W9'!$A$88,'W9'!G88,IF('R9'!$F$208='W9'!$A$89,'W9'!G89,IF('R9'!$F$208='W9'!$A$90,'W9'!G90,IF('R9'!$F$208='W9'!$A$91,'W9'!G91))))))</f>
        <v>0.56999999999999995</v>
      </c>
      <c r="H97" s="37">
        <f>IF('R9'!$F$208='W9'!$A$86,'W9'!H86,IF('R9'!$F$208='W9'!$A$87,'W9'!H87,IF('R9'!$F$208='W9'!$A$88,'W9'!H88,IF('R9'!$F$208='W9'!$A$89,'W9'!H89,IF('R9'!$F$208='W9'!$A$90,'W9'!H90,IF('R9'!$F$208='W9'!$A$91,'W9'!H91))))))</f>
        <v>0.56999999999999995</v>
      </c>
      <c r="I97" s="37">
        <f>IF('R9'!$F$208='W9'!$A$86,'W9'!I86,IF('R9'!$F$208='W9'!$A$87,'W9'!I87,IF('R9'!$F$208='W9'!$A$88,'W9'!I88,IF('R9'!$F$208='W9'!$A$89,'W9'!I89,IF('R9'!$F$208='W9'!$A$90,'W9'!I90,IF('R9'!$F$208='W9'!$A$91,'W9'!I91))))))</f>
        <v>0.56999999999999995</v>
      </c>
      <c r="J97" s="37">
        <f>IF('R9'!$F$208='W9'!$A$86,'W9'!J86,IF('R9'!$F$208='W9'!$A$87,'W9'!J87,IF('R9'!$F$208='W9'!$A$88,'W9'!J88,IF('R9'!$F$208='W9'!$A$89,'W9'!J89,IF('R9'!$F$208='W9'!$A$90,'W9'!J90,IF('R9'!$F$208='W9'!$A$91,'W9'!J91))))))</f>
        <v>0.56999999999999995</v>
      </c>
      <c r="K97" s="37">
        <f>IF('R9'!$F$208='W9'!$A$86,'W9'!K86,IF('R9'!$F$208='W9'!$A$87,'W9'!K87,IF('R9'!$F$208='W9'!$A$88,'W9'!K88,IF('R9'!$F$208='W9'!$A$89,'W9'!K89,IF('R9'!$F$208='W9'!$A$90,'W9'!K90,IF('R9'!$F$208='W9'!$A$91,'W9'!K91))))))</f>
        <v>0.56999999999999995</v>
      </c>
    </row>
    <row r="98" spans="1:11" x14ac:dyDescent="0.2">
      <c r="A98" s="1" t="s">
        <v>108</v>
      </c>
      <c r="B98" s="309" t="s">
        <v>9</v>
      </c>
      <c r="C98" s="309"/>
      <c r="D98" s="309" t="s">
        <v>10</v>
      </c>
      <c r="E98" s="309"/>
      <c r="F98" s="309" t="s">
        <v>11</v>
      </c>
      <c r="G98" s="309"/>
      <c r="H98" s="307" t="s">
        <v>24</v>
      </c>
      <c r="I98" s="308"/>
      <c r="J98" s="310" t="s">
        <v>12</v>
      </c>
      <c r="K98" s="311"/>
    </row>
    <row r="99" spans="1:11" x14ac:dyDescent="0.2">
      <c r="B99" s="314" t="str">
        <f>IF(B97=C97,B97*100&amp;"%",B97*100&amp;"%"&amp;"/"&amp;C97*100&amp;"%")</f>
        <v>57%</v>
      </c>
      <c r="C99" s="314"/>
      <c r="D99" s="314" t="str">
        <f>IF(D97=E97,D97*100&amp;"%",D97*100&amp;"%"&amp;"/"&amp;E97*100&amp;"%")</f>
        <v>57%</v>
      </c>
      <c r="E99" s="314"/>
      <c r="F99" s="314" t="str">
        <f>IF(F97=G97,F97*100&amp;"%",F97*100&amp;"%"&amp;"/"&amp;G97*100&amp;"%")</f>
        <v>57%</v>
      </c>
      <c r="G99" s="314"/>
      <c r="H99" s="307" t="str">
        <f>IF(H97=I97,H97*100&amp;"%",H97*100&amp;"%"&amp;"/"&amp;I97*100&amp;"%")</f>
        <v>57%</v>
      </c>
      <c r="I99" s="308"/>
      <c r="J99" s="307" t="str">
        <f>IF(J97=K97,J97*100&amp;"%",J97*100&amp;"%"&amp;"/"&amp;K97*100&amp;"%")</f>
        <v>57%</v>
      </c>
      <c r="K99" s="308"/>
    </row>
    <row r="100" spans="1:11" x14ac:dyDescent="0.2">
      <c r="H100" s="38"/>
    </row>
    <row r="103" spans="1:11" x14ac:dyDescent="0.2">
      <c r="A103" s="9" t="s">
        <v>109</v>
      </c>
      <c r="B103" s="4" t="s">
        <v>110</v>
      </c>
      <c r="C103" s="9" t="s">
        <v>9</v>
      </c>
      <c r="D103" s="9" t="s">
        <v>10</v>
      </c>
      <c r="E103" s="9" t="s">
        <v>11</v>
      </c>
      <c r="F103" s="9" t="s">
        <v>24</v>
      </c>
      <c r="G103" s="9" t="s">
        <v>12</v>
      </c>
      <c r="H103" s="9" t="s">
        <v>13</v>
      </c>
    </row>
    <row r="104" spans="1:11" x14ac:dyDescent="0.2">
      <c r="A104" s="40">
        <f>'R9'!B126</f>
        <v>0</v>
      </c>
      <c r="B104" s="4" t="str">
        <f>IF('R9'!K126="non-UC","No","Yes")</f>
        <v>No</v>
      </c>
      <c r="C104" s="4">
        <f>'R9'!N126+(IF('R9'!$K127="IC of Above",'R9'!N127,0))</f>
        <v>0</v>
      </c>
      <c r="D104" s="4">
        <f>'R9'!O126+(IF('R9'!$K127="IC of Above",'R9'!O127,0))</f>
        <v>0</v>
      </c>
      <c r="E104" s="4">
        <f>'R9'!P126+(IF('R9'!$K127="IC of Above",'R9'!P127,0))</f>
        <v>0</v>
      </c>
      <c r="F104" s="4">
        <f>'R9'!Q126+(IF('R9'!$K127="IC of Above",'R9'!Q127,0))</f>
        <v>0</v>
      </c>
      <c r="G104" s="4">
        <f>'R9'!R126+(IF('R9'!$K127="IC of Above",'R9'!R127,0))</f>
        <v>0</v>
      </c>
      <c r="H104" s="4">
        <f t="shared" ref="H104:H118" si="23">SUM(C104:G104)</f>
        <v>0</v>
      </c>
    </row>
    <row r="105" spans="1:11" x14ac:dyDescent="0.2">
      <c r="A105" s="40">
        <f>'R9'!B127</f>
        <v>0</v>
      </c>
      <c r="B105" s="4" t="str">
        <f>IF('R9'!K127="non-UC","No",IF('R9'!K27="IC of Above","Yes","Yes"))</f>
        <v>No</v>
      </c>
      <c r="C105" s="4">
        <f>IF('R9'!$K127="IC of Above",0,'R9'!N127+IF('R9'!$K128="IC of Above",'R9'!N128,0))</f>
        <v>0</v>
      </c>
      <c r="D105" s="4">
        <f>IF('R9'!$K127="IC of Above",0,'R9'!O127+IF('R9'!$K128="IC of Above",'R9'!O128,0))</f>
        <v>0</v>
      </c>
      <c r="E105" s="4">
        <f>IF('R9'!$K127="IC of Above",0,'R9'!P127+IF('R9'!$K128="IC of Above",'R9'!P128,0))</f>
        <v>0</v>
      </c>
      <c r="F105" s="4">
        <f>IF('R9'!$K127="IC of Above",0,'R9'!Q127+IF('R9'!$K128="IC of Above",'R9'!Q128,0))</f>
        <v>0</v>
      </c>
      <c r="G105" s="4">
        <f>IF('R9'!$K127="IC of Above",0,'R9'!R127+IF('R9'!$K128="IC of Above",'R9'!R128,0))</f>
        <v>0</v>
      </c>
      <c r="H105" s="4">
        <f t="shared" si="23"/>
        <v>0</v>
      </c>
    </row>
    <row r="106" spans="1:11" x14ac:dyDescent="0.2">
      <c r="A106" s="40">
        <f>'R9'!B128</f>
        <v>0</v>
      </c>
      <c r="B106" s="4" t="str">
        <f>IF('R9'!K128="non-UC","No","Yes")</f>
        <v>No</v>
      </c>
      <c r="C106" s="4">
        <f>IF('R9'!$K128="IC of Above",0,'R9'!N128+IF('R9'!$K129="IC of Above",'R9'!N129,0))</f>
        <v>0</v>
      </c>
      <c r="D106" s="4">
        <f>IF('R9'!$K128="IC of Above",0,'R9'!O128+IF('R9'!$K129="IC of Above",'R9'!O129,0))</f>
        <v>0</v>
      </c>
      <c r="E106" s="4">
        <f>IF('R9'!$K128="IC of Above",0,'R9'!P128+IF('R9'!$K129="IC of Above",'R9'!P129,0))</f>
        <v>0</v>
      </c>
      <c r="F106" s="4">
        <f>IF('R9'!$K128="IC of Above",0,'R9'!Q128+IF('R9'!$K129="IC of Above",'R9'!Q129,0))</f>
        <v>0</v>
      </c>
      <c r="G106" s="4">
        <f>IF('R9'!$K128="IC of Above",0,'R9'!R128+IF('R9'!$K129="IC of Above",'R9'!R129,0))</f>
        <v>0</v>
      </c>
      <c r="H106" s="4">
        <f t="shared" si="23"/>
        <v>0</v>
      </c>
    </row>
    <row r="107" spans="1:11" x14ac:dyDescent="0.2">
      <c r="A107" s="40">
        <f>'R9'!B129</f>
        <v>0</v>
      </c>
      <c r="B107" s="4" t="str">
        <f>IF('R9'!K129="non-UC","No","Yes")</f>
        <v>No</v>
      </c>
      <c r="C107" s="4">
        <f>IF('R9'!$K129="IC of Above",0,'R9'!N129+IF('R9'!$K130="IC of Above",'R9'!N130,0))</f>
        <v>0</v>
      </c>
      <c r="D107" s="4">
        <f>IF('R9'!$K129="IC of Above",0,'R9'!O129+IF('R9'!$K130="IC of Above",'R9'!O130,0))</f>
        <v>0</v>
      </c>
      <c r="E107" s="4">
        <f>IF('R9'!$K129="IC of Above",0,'R9'!P129+IF('R9'!$K130="IC of Above",'R9'!P130,0))</f>
        <v>0</v>
      </c>
      <c r="F107" s="4">
        <f>IF('R9'!$K129="IC of Above",0,'R9'!Q129+IF('R9'!$K130="IC of Above",'R9'!Q130,0))</f>
        <v>0</v>
      </c>
      <c r="G107" s="4">
        <f>IF('R9'!$K129="IC of Above",0,'R9'!R129+IF('R9'!$K130="IC of Above",'R9'!R130,0))</f>
        <v>0</v>
      </c>
      <c r="H107" s="4">
        <f t="shared" si="23"/>
        <v>0</v>
      </c>
    </row>
    <row r="108" spans="1:11" x14ac:dyDescent="0.2">
      <c r="A108" s="40">
        <f>'R9'!B130</f>
        <v>0</v>
      </c>
      <c r="B108" s="4" t="str">
        <f>IF('R9'!K130="non-UC","No","Yes")</f>
        <v>No</v>
      </c>
      <c r="C108" s="4">
        <f>IF('R9'!$K130="IC of Above",0,'R9'!N130+IF('R9'!$K131="IC of Above",'R9'!N131,0))</f>
        <v>0</v>
      </c>
      <c r="D108" s="4">
        <f>IF('R9'!$K130="IC of Above",0,'R9'!O130+IF('R9'!$K131="IC of Above",'R9'!O131,0))</f>
        <v>0</v>
      </c>
      <c r="E108" s="4">
        <f>IF('R9'!$K130="IC of Above",0,'R9'!P130+IF('R9'!$K131="IC of Above",'R9'!P131,0))</f>
        <v>0</v>
      </c>
      <c r="F108" s="4">
        <f>IF('R9'!$K130="IC of Above",0,'R9'!Q130+IF('R9'!$K131="IC of Above",'R9'!Q131,0))</f>
        <v>0</v>
      </c>
      <c r="G108" s="4">
        <f>IF('R9'!$K130="IC of Above",0,'R9'!R130+IF('R9'!$K131="IC of Above",'R9'!R131,0))</f>
        <v>0</v>
      </c>
      <c r="H108" s="4">
        <f t="shared" si="23"/>
        <v>0</v>
      </c>
    </row>
    <row r="109" spans="1:11" x14ac:dyDescent="0.2">
      <c r="A109" s="40">
        <f>'R9'!B131</f>
        <v>0</v>
      </c>
      <c r="B109" s="4" t="str">
        <f>IF('R9'!K131="non-UC","No","Yes")</f>
        <v>No</v>
      </c>
      <c r="C109" s="4">
        <f>IF('R9'!$K131="IC of Above",0,'R9'!N131+IF('R9'!$K132="IC of Above",'R9'!N132,0))</f>
        <v>0</v>
      </c>
      <c r="D109" s="4">
        <f>IF('R9'!$K131="IC of Above",0,'R9'!O131+IF('R9'!$K132="IC of Above",'R9'!O132,0))</f>
        <v>0</v>
      </c>
      <c r="E109" s="4">
        <f>IF('R9'!$K131="IC of Above",0,'R9'!P131+IF('R9'!$K132="IC of Above",'R9'!P132,0))</f>
        <v>0</v>
      </c>
      <c r="F109" s="4">
        <f>IF('R9'!$K131="IC of Above",0,'R9'!Q131+IF('R9'!$K132="IC of Above",'R9'!Q132,0))</f>
        <v>0</v>
      </c>
      <c r="G109" s="4">
        <f>IF('R9'!$K131="IC of Above",0,'R9'!R131+IF('R9'!$K132="IC of Above",'R9'!R132,0))</f>
        <v>0</v>
      </c>
      <c r="H109" s="4">
        <f t="shared" si="23"/>
        <v>0</v>
      </c>
    </row>
    <row r="110" spans="1:11" x14ac:dyDescent="0.2">
      <c r="A110" s="40">
        <f>'R9'!B132</f>
        <v>0</v>
      </c>
      <c r="B110" s="4" t="str">
        <f>IF('R9'!K132="non-UC","No","Yes")</f>
        <v>No</v>
      </c>
      <c r="C110" s="4">
        <f>IF('R9'!$K132="IC of Above",0,'R9'!N132+IF('R9'!$K133="IC of Above",'R9'!N133,0))</f>
        <v>0</v>
      </c>
      <c r="D110" s="4">
        <f>IF('R9'!$K132="IC of Above",0,'R9'!O132+IF('R9'!$K133="IC of Above",'R9'!O133,0))</f>
        <v>0</v>
      </c>
      <c r="E110" s="4">
        <f>IF('R9'!$K132="IC of Above",0,'R9'!P132+IF('R9'!$K133="IC of Above",'R9'!P133,0))</f>
        <v>0</v>
      </c>
      <c r="F110" s="4">
        <f>IF('R9'!$K132="IC of Above",0,'R9'!Q132+IF('R9'!$K133="IC of Above",'R9'!Q133,0))</f>
        <v>0</v>
      </c>
      <c r="G110" s="4">
        <f>IF('R9'!$K132="IC of Above",0,'R9'!R132+IF('R9'!$K133="IC of Above",'R9'!R133,0))</f>
        <v>0</v>
      </c>
      <c r="H110" s="4">
        <f t="shared" si="23"/>
        <v>0</v>
      </c>
    </row>
    <row r="111" spans="1:11" x14ac:dyDescent="0.2">
      <c r="A111" s="40">
        <f>'R9'!B133</f>
        <v>0</v>
      </c>
      <c r="B111" s="4" t="str">
        <f>IF('R9'!K133="non-UC","No","Yes")</f>
        <v>No</v>
      </c>
      <c r="C111" s="4">
        <f>IF('R9'!$K133="IC of Above",0,'R9'!N133+IF('R9'!$K134="IC of Above",'R9'!N134,0))</f>
        <v>0</v>
      </c>
      <c r="D111" s="4">
        <f>IF('R9'!$K133="IC of Above",0,'R9'!O133+IF('R9'!$K134="IC of Above",'R9'!O134,0))</f>
        <v>0</v>
      </c>
      <c r="E111" s="4">
        <f>IF('R9'!$K133="IC of Above",0,'R9'!P133+IF('R9'!$K134="IC of Above",'R9'!P134,0))</f>
        <v>0</v>
      </c>
      <c r="F111" s="4">
        <f>IF('R9'!$K133="IC of Above",0,'R9'!Q133+IF('R9'!$K134="IC of Above",'R9'!Q134,0))</f>
        <v>0</v>
      </c>
      <c r="G111" s="4">
        <f>IF('R9'!$K133="IC of Above",0,'R9'!R133+IF('R9'!$K134="IC of Above",'R9'!R134,0))</f>
        <v>0</v>
      </c>
      <c r="H111" s="4">
        <f t="shared" si="23"/>
        <v>0</v>
      </c>
    </row>
    <row r="112" spans="1:11" x14ac:dyDescent="0.2">
      <c r="A112" s="40">
        <f>'R9'!B134</f>
        <v>0</v>
      </c>
      <c r="B112" s="4" t="str">
        <f>IF('R9'!K134="non-UC","No","Yes")</f>
        <v>No</v>
      </c>
      <c r="C112" s="4">
        <f>IF('R9'!$K134="IC of Above",0,'R9'!N134+IF('R9'!$K135="IC of Above",'R9'!N135,0))</f>
        <v>0</v>
      </c>
      <c r="D112" s="4">
        <f>IF('R9'!$K134="IC of Above",0,'R9'!O134+IF('R9'!$K135="IC of Above",'R9'!O135,0))</f>
        <v>0</v>
      </c>
      <c r="E112" s="4">
        <f>IF('R9'!$K134="IC of Above",0,'R9'!P134+IF('R9'!$K135="IC of Above",'R9'!P135,0))</f>
        <v>0</v>
      </c>
      <c r="F112" s="4">
        <f>IF('R9'!$K134="IC of Above",0,'R9'!Q134+IF('R9'!$K135="IC of Above",'R9'!Q135,0))</f>
        <v>0</v>
      </c>
      <c r="G112" s="4">
        <f>IF('R9'!$K134="IC of Above",0,'R9'!R134+IF('R9'!$K135="IC of Above",'R9'!R135,0))</f>
        <v>0</v>
      </c>
      <c r="H112" s="4">
        <f t="shared" si="23"/>
        <v>0</v>
      </c>
    </row>
    <row r="113" spans="1:8" x14ac:dyDescent="0.2">
      <c r="A113" s="40">
        <f>'R9'!B135</f>
        <v>0</v>
      </c>
      <c r="B113" s="4" t="str">
        <f>IF('R9'!K135="non-UC","No","Yes")</f>
        <v>No</v>
      </c>
      <c r="C113" s="4">
        <f>IF('R9'!$K135="IC of Above",0,'R9'!N135+IF('R9'!$K136="IC of Above",'R9'!N136,0))</f>
        <v>0</v>
      </c>
      <c r="D113" s="4">
        <f>IF('R9'!$K135="IC of Above",0,'R9'!O135+IF('R9'!$K136="IC of Above",'R9'!O136,0))</f>
        <v>0</v>
      </c>
      <c r="E113" s="4">
        <f>IF('R9'!$K135="IC of Above",0,'R9'!P135+IF('R9'!$K136="IC of Above",'R9'!P136,0))</f>
        <v>0</v>
      </c>
      <c r="F113" s="4">
        <f>IF('R9'!$K135="IC of Above",0,'R9'!Q135+IF('R9'!$K136="IC of Above",'R9'!Q136,0))</f>
        <v>0</v>
      </c>
      <c r="G113" s="4">
        <f>IF('R9'!$K135="IC of Above",0,'R9'!R135+IF('R9'!$K136="IC of Above",'R9'!R136,0))</f>
        <v>0</v>
      </c>
      <c r="H113" s="4">
        <f t="shared" si="23"/>
        <v>0</v>
      </c>
    </row>
    <row r="114" spans="1:8" x14ac:dyDescent="0.2">
      <c r="A114" s="40">
        <f>'R9'!B136</f>
        <v>0</v>
      </c>
      <c r="B114" s="4" t="str">
        <f>IF('R9'!K136="non-UC","No","Yes")</f>
        <v>No</v>
      </c>
      <c r="C114" s="4">
        <f>IF('R9'!$K136="IC of Above",0,'R9'!N136+IF('R9'!$K137="IC of Above",'R9'!N137,0))</f>
        <v>0</v>
      </c>
      <c r="D114" s="4">
        <f>IF('R9'!$K136="IC of Above",0,'R9'!O136+IF('R9'!$K137="IC of Above",'R9'!O137,0))</f>
        <v>0</v>
      </c>
      <c r="E114" s="4">
        <f>IF('R9'!$K136="IC of Above",0,'R9'!P136+IF('R9'!$K137="IC of Above",'R9'!P137,0))</f>
        <v>0</v>
      </c>
      <c r="F114" s="4">
        <f>IF('R9'!$K136="IC of Above",0,'R9'!Q136+IF('R9'!$K137="IC of Above",'R9'!Q137,0))</f>
        <v>0</v>
      </c>
      <c r="G114" s="4">
        <f>IF('R9'!$K136="IC of Above",0,'R9'!R136+IF('R9'!$K137="IC of Above",'R9'!R137,0))</f>
        <v>0</v>
      </c>
      <c r="H114" s="4">
        <f t="shared" si="23"/>
        <v>0</v>
      </c>
    </row>
    <row r="115" spans="1:8" x14ac:dyDescent="0.2">
      <c r="A115" s="40">
        <f>'R9'!B137</f>
        <v>0</v>
      </c>
      <c r="B115" s="4" t="str">
        <f>IF('R9'!K137="non-UC","No","Yes")</f>
        <v>No</v>
      </c>
      <c r="C115" s="4">
        <f>IF('R9'!$K137="IC of Above",0,'R9'!N137+IF('R9'!$K138="IC of Above",'R9'!N138,0))</f>
        <v>0</v>
      </c>
      <c r="D115" s="4">
        <f>IF('R9'!$K137="IC of Above",0,'R9'!O137+IF('R9'!$K138="IC of Above",'R9'!O138,0))</f>
        <v>0</v>
      </c>
      <c r="E115" s="4">
        <f>IF('R9'!$K137="IC of Above",0,'R9'!P137+IF('R9'!$K138="IC of Above",'R9'!P138,0))</f>
        <v>0</v>
      </c>
      <c r="F115" s="4">
        <f>IF('R9'!$K137="IC of Above",0,'R9'!Q137+IF('R9'!$K138="IC of Above",'R9'!Q138,0))</f>
        <v>0</v>
      </c>
      <c r="G115" s="4">
        <f>IF('R9'!$K137="IC of Above",0,'R9'!R137+IF('R9'!$K138="IC of Above",'R9'!R138,0))</f>
        <v>0</v>
      </c>
      <c r="H115" s="4">
        <f t="shared" si="23"/>
        <v>0</v>
      </c>
    </row>
    <row r="116" spans="1:8" x14ac:dyDescent="0.2">
      <c r="A116" s="40">
        <f>'R9'!B138</f>
        <v>0</v>
      </c>
      <c r="B116" s="4" t="str">
        <f>IF('R9'!K138="non-UC","No","Yes")</f>
        <v>No</v>
      </c>
      <c r="C116" s="4">
        <f>IF('R9'!$K138="IC of Above",0,'R9'!N138+IF('R9'!$K139="IC of Above",'R9'!N139,0))</f>
        <v>0</v>
      </c>
      <c r="D116" s="4">
        <f>IF('R9'!$K138="IC of Above",0,'R9'!O138+IF('R9'!$K139="IC of Above",'R9'!O139,0))</f>
        <v>0</v>
      </c>
      <c r="E116" s="4">
        <f>IF('R9'!$K138="IC of Above",0,'R9'!P138+IF('R9'!$K139="IC of Above",'R9'!P139,0))</f>
        <v>0</v>
      </c>
      <c r="F116" s="4">
        <f>IF('R9'!$K138="IC of Above",0,'R9'!Q138+IF('R9'!$K139="IC of Above",'R9'!Q139,0))</f>
        <v>0</v>
      </c>
      <c r="G116" s="4">
        <f>IF('R9'!$K138="IC of Above",0,'R9'!R138+IF('R9'!$K139="IC of Above",'R9'!R139,0))</f>
        <v>0</v>
      </c>
      <c r="H116" s="4">
        <f t="shared" si="23"/>
        <v>0</v>
      </c>
    </row>
    <row r="117" spans="1:8" x14ac:dyDescent="0.2">
      <c r="A117" s="40">
        <f>'R9'!B139</f>
        <v>0</v>
      </c>
      <c r="B117" s="4" t="str">
        <f>IF('R9'!K139="non-UC","No","Yes")</f>
        <v>No</v>
      </c>
      <c r="C117" s="4">
        <f>IF('R9'!$K139="IC of Above",0,'R9'!N139+IF('R9'!$K140="IC of Above",'R9'!N140,0))</f>
        <v>0</v>
      </c>
      <c r="D117" s="4">
        <f>IF('R9'!$K139="IC of Above",0,'R9'!O139+IF('R9'!$K140="IC of Above",'R9'!O140,0))</f>
        <v>0</v>
      </c>
      <c r="E117" s="4">
        <f>IF('R9'!$K139="IC of Above",0,'R9'!P139+IF('R9'!$K140="IC of Above",'R9'!P140,0))</f>
        <v>0</v>
      </c>
      <c r="F117" s="4">
        <f>IF('R9'!$K139="IC of Above",0,'R9'!Q139+IF('R9'!$K140="IC of Above",'R9'!Q140,0))</f>
        <v>0</v>
      </c>
      <c r="G117" s="4">
        <f>IF('R9'!$K139="IC of Above",0,'R9'!R139+IF('R9'!$K140="IC of Above",'R9'!R140,0))</f>
        <v>0</v>
      </c>
      <c r="H117" s="4">
        <f t="shared" si="23"/>
        <v>0</v>
      </c>
    </row>
    <row r="118" spans="1:8" x14ac:dyDescent="0.2">
      <c r="A118" s="40">
        <f>'R9'!B140</f>
        <v>0</v>
      </c>
      <c r="B118" s="4" t="str">
        <f>IF('R9'!K140="non-UC","No","Yes")</f>
        <v>No</v>
      </c>
      <c r="C118" s="4">
        <f>IF('R9'!$K140="IC of Above",0,'R9'!N140+IF('R9'!$K141="IC of Above",'R9'!N141,0))</f>
        <v>0</v>
      </c>
      <c r="D118" s="4">
        <f>IF('R9'!$K140="IC of Above",0,'R9'!O140+IF('R9'!$K141="IC of Above",'R9'!O141,0))</f>
        <v>0</v>
      </c>
      <c r="E118" s="4">
        <f>IF('R9'!$K140="IC of Above",0,'R9'!P140+IF('R9'!$K141="IC of Above",'R9'!P141,0))</f>
        <v>0</v>
      </c>
      <c r="F118" s="4">
        <f>IF('R9'!$K140="IC of Above",0,'R9'!Q140+IF('R9'!$K141="IC of Above",'R9'!Q141,0))</f>
        <v>0</v>
      </c>
      <c r="G118" s="4">
        <f>IF('R9'!$K140="IC of Above",0,'R9'!R140+IF('R9'!$K141="IC of Above",'R9'!R141,0))</f>
        <v>0</v>
      </c>
      <c r="H118" s="4">
        <f t="shared" si="23"/>
        <v>0</v>
      </c>
    </row>
    <row r="120" spans="1:8" x14ac:dyDescent="0.2">
      <c r="A120" s="9" t="s">
        <v>113</v>
      </c>
      <c r="B120" s="4" t="s">
        <v>110</v>
      </c>
      <c r="C120" s="9" t="s">
        <v>9</v>
      </c>
      <c r="D120" s="9" t="s">
        <v>10</v>
      </c>
      <c r="E120" s="9" t="s">
        <v>11</v>
      </c>
      <c r="F120" s="9" t="s">
        <v>24</v>
      </c>
      <c r="G120" s="9" t="s">
        <v>12</v>
      </c>
      <c r="H120" s="9" t="s">
        <v>13</v>
      </c>
    </row>
    <row r="121" spans="1:8" x14ac:dyDescent="0.2">
      <c r="A121" s="40">
        <f>'R9'!B143</f>
        <v>0</v>
      </c>
      <c r="B121" s="4" t="str">
        <f>IF('R9'!K126="non-UC","No","Yes")</f>
        <v>No</v>
      </c>
      <c r="C121" s="4">
        <f>IF(B104="Yes",0,(IF(C104&gt;25000,25000,C104)))</f>
        <v>0</v>
      </c>
      <c r="D121" s="4">
        <f t="shared" ref="D121:D135" si="24">IF(B121="Yes",0,IF(C104&gt;=25000,0,IF(C104+D104&gt;=25000,25000-C104,D104)))</f>
        <v>0</v>
      </c>
      <c r="E121" s="4">
        <f t="shared" ref="E121:E135" si="25">IF(B121="Yes",0,IF((C104+D104)&gt;=25000,0,IF((C104+D104+E104)&gt;=25000,25000-C104-D104,E104)))</f>
        <v>0</v>
      </c>
      <c r="F121" s="4">
        <f t="shared" ref="F121:F135" si="26">IF(B121="Yes",0,IF((C104+D104+E104)&gt;=25000,0,IF((C104+D104+E104+F104)&gt;=25000,25000-C104-D104-E104,F104)))</f>
        <v>0</v>
      </c>
      <c r="G121" s="4">
        <f t="shared" ref="G121:G135" si="27">IF(B121="Yes",0,IF((C104+D104+E104+F104)&gt;=25000,0,IF((C104+D104+E104+F104+G104)&gt;=25000,25000-C104-D104-E104-F104,G104)))</f>
        <v>0</v>
      </c>
      <c r="H121" s="4">
        <f t="shared" ref="H121:H136" si="28">SUM(C121:G121)</f>
        <v>0</v>
      </c>
    </row>
    <row r="122" spans="1:8" x14ac:dyDescent="0.2">
      <c r="A122" s="40">
        <f>'R9'!B144</f>
        <v>0</v>
      </c>
      <c r="B122" s="4" t="str">
        <f>IF('R9'!K127="non-UC","No","Yes")</f>
        <v>No</v>
      </c>
      <c r="C122" s="4">
        <f>IF(B105="Yes",0,(IF(C105&gt;25000,25000,C105)))</f>
        <v>0</v>
      </c>
      <c r="D122" s="4">
        <f t="shared" si="24"/>
        <v>0</v>
      </c>
      <c r="E122" s="4">
        <f t="shared" si="25"/>
        <v>0</v>
      </c>
      <c r="F122" s="4">
        <f t="shared" si="26"/>
        <v>0</v>
      </c>
      <c r="G122" s="4">
        <f t="shared" si="27"/>
        <v>0</v>
      </c>
      <c r="H122" s="4">
        <f t="shared" si="28"/>
        <v>0</v>
      </c>
    </row>
    <row r="123" spans="1:8" x14ac:dyDescent="0.2">
      <c r="A123" s="40">
        <f>'R9'!B145</f>
        <v>0</v>
      </c>
      <c r="B123" s="4" t="str">
        <f>IF('R9'!K128="non-UC","No","Yes")</f>
        <v>No</v>
      </c>
      <c r="C123" s="4">
        <f t="shared" ref="C123:C135" si="29">IF(B106="Yes",0,(IF(C106&gt;25000,25000,C106)))</f>
        <v>0</v>
      </c>
      <c r="D123" s="4">
        <f t="shared" si="24"/>
        <v>0</v>
      </c>
      <c r="E123" s="4">
        <f t="shared" si="25"/>
        <v>0</v>
      </c>
      <c r="F123" s="4">
        <f t="shared" si="26"/>
        <v>0</v>
      </c>
      <c r="G123" s="4">
        <f t="shared" si="27"/>
        <v>0</v>
      </c>
      <c r="H123" s="4">
        <f t="shared" si="28"/>
        <v>0</v>
      </c>
    </row>
    <row r="124" spans="1:8" x14ac:dyDescent="0.2">
      <c r="A124" s="40">
        <f>'R9'!B146</f>
        <v>0</v>
      </c>
      <c r="B124" s="4" t="str">
        <f>IF('R9'!K129="non-UC","No","Yes")</f>
        <v>No</v>
      </c>
      <c r="C124" s="4">
        <f t="shared" si="29"/>
        <v>0</v>
      </c>
      <c r="D124" s="4">
        <f t="shared" si="24"/>
        <v>0</v>
      </c>
      <c r="E124" s="4">
        <f t="shared" si="25"/>
        <v>0</v>
      </c>
      <c r="F124" s="4">
        <f t="shared" si="26"/>
        <v>0</v>
      </c>
      <c r="G124" s="4">
        <f t="shared" si="27"/>
        <v>0</v>
      </c>
      <c r="H124" s="4">
        <f t="shared" si="28"/>
        <v>0</v>
      </c>
    </row>
    <row r="125" spans="1:8" x14ac:dyDescent="0.2">
      <c r="A125" s="40">
        <f>'R9'!B147</f>
        <v>0</v>
      </c>
      <c r="B125" s="4" t="str">
        <f>IF('R9'!K130="non-UC","No","Yes")</f>
        <v>No</v>
      </c>
      <c r="C125" s="4">
        <f t="shared" si="29"/>
        <v>0</v>
      </c>
      <c r="D125" s="4">
        <f t="shared" si="24"/>
        <v>0</v>
      </c>
      <c r="E125" s="4">
        <f t="shared" si="25"/>
        <v>0</v>
      </c>
      <c r="F125" s="4">
        <f t="shared" si="26"/>
        <v>0</v>
      </c>
      <c r="G125" s="4">
        <f t="shared" si="27"/>
        <v>0</v>
      </c>
      <c r="H125" s="4">
        <f t="shared" si="28"/>
        <v>0</v>
      </c>
    </row>
    <row r="126" spans="1:8" x14ac:dyDescent="0.2">
      <c r="A126" s="40">
        <f>'R9'!B148</f>
        <v>0</v>
      </c>
      <c r="B126" s="4" t="str">
        <f>IF('R9'!K131="non-UC","No","Yes")</f>
        <v>No</v>
      </c>
      <c r="C126" s="4">
        <f t="shared" si="29"/>
        <v>0</v>
      </c>
      <c r="D126" s="4">
        <f t="shared" si="24"/>
        <v>0</v>
      </c>
      <c r="E126" s="4">
        <f t="shared" si="25"/>
        <v>0</v>
      </c>
      <c r="F126" s="4">
        <f t="shared" si="26"/>
        <v>0</v>
      </c>
      <c r="G126" s="4">
        <f t="shared" si="27"/>
        <v>0</v>
      </c>
      <c r="H126" s="4">
        <f t="shared" si="28"/>
        <v>0</v>
      </c>
    </row>
    <row r="127" spans="1:8" x14ac:dyDescent="0.2">
      <c r="A127" s="40">
        <f>'R9'!B149</f>
        <v>0</v>
      </c>
      <c r="B127" s="4" t="str">
        <f>IF('R9'!K132="non-UC","No","Yes")</f>
        <v>No</v>
      </c>
      <c r="C127" s="4">
        <f t="shared" si="29"/>
        <v>0</v>
      </c>
      <c r="D127" s="4">
        <f t="shared" si="24"/>
        <v>0</v>
      </c>
      <c r="E127" s="4">
        <f t="shared" si="25"/>
        <v>0</v>
      </c>
      <c r="F127" s="4">
        <f t="shared" si="26"/>
        <v>0</v>
      </c>
      <c r="G127" s="4">
        <f t="shared" si="27"/>
        <v>0</v>
      </c>
      <c r="H127" s="4">
        <f t="shared" si="28"/>
        <v>0</v>
      </c>
    </row>
    <row r="128" spans="1:8" x14ac:dyDescent="0.2">
      <c r="A128" s="40">
        <f>'R9'!B150</f>
        <v>0</v>
      </c>
      <c r="B128" s="4" t="str">
        <f>IF('R9'!K133="non-UC","No","Yes")</f>
        <v>No</v>
      </c>
      <c r="C128" s="4">
        <f t="shared" si="29"/>
        <v>0</v>
      </c>
      <c r="D128" s="4">
        <f t="shared" si="24"/>
        <v>0</v>
      </c>
      <c r="E128" s="4">
        <f t="shared" si="25"/>
        <v>0</v>
      </c>
      <c r="F128" s="4">
        <f t="shared" si="26"/>
        <v>0</v>
      </c>
      <c r="G128" s="4">
        <f t="shared" si="27"/>
        <v>0</v>
      </c>
      <c r="H128" s="4">
        <f t="shared" si="28"/>
        <v>0</v>
      </c>
    </row>
    <row r="129" spans="1:8" x14ac:dyDescent="0.2">
      <c r="A129" s="40">
        <f>'R9'!B151</f>
        <v>0</v>
      </c>
      <c r="B129" s="4" t="str">
        <f>IF('R9'!K134="non-UC","No","Yes")</f>
        <v>No</v>
      </c>
      <c r="C129" s="4">
        <f t="shared" si="29"/>
        <v>0</v>
      </c>
      <c r="D129" s="4">
        <f t="shared" si="24"/>
        <v>0</v>
      </c>
      <c r="E129" s="4">
        <f t="shared" si="25"/>
        <v>0</v>
      </c>
      <c r="F129" s="4">
        <f t="shared" si="26"/>
        <v>0</v>
      </c>
      <c r="G129" s="4">
        <f t="shared" si="27"/>
        <v>0</v>
      </c>
      <c r="H129" s="4">
        <f t="shared" si="28"/>
        <v>0</v>
      </c>
    </row>
    <row r="130" spans="1:8" x14ac:dyDescent="0.2">
      <c r="A130" s="40">
        <f>'R9'!B152</f>
        <v>0</v>
      </c>
      <c r="B130" s="4" t="str">
        <f>IF('R9'!K135="non-UC","No","Yes")</f>
        <v>No</v>
      </c>
      <c r="C130" s="4">
        <f t="shared" si="29"/>
        <v>0</v>
      </c>
      <c r="D130" s="4">
        <f t="shared" si="24"/>
        <v>0</v>
      </c>
      <c r="E130" s="4">
        <f t="shared" si="25"/>
        <v>0</v>
      </c>
      <c r="F130" s="4">
        <f t="shared" si="26"/>
        <v>0</v>
      </c>
      <c r="G130" s="4">
        <f t="shared" si="27"/>
        <v>0</v>
      </c>
      <c r="H130" s="4">
        <f t="shared" si="28"/>
        <v>0</v>
      </c>
    </row>
    <row r="131" spans="1:8" x14ac:dyDescent="0.2">
      <c r="A131" s="40">
        <f>'R9'!B153</f>
        <v>0</v>
      </c>
      <c r="B131" s="4" t="str">
        <f>IF('R9'!K136="non-UC","No","Yes")</f>
        <v>No</v>
      </c>
      <c r="C131" s="4">
        <f t="shared" si="29"/>
        <v>0</v>
      </c>
      <c r="D131" s="4">
        <f t="shared" si="24"/>
        <v>0</v>
      </c>
      <c r="E131" s="4">
        <f t="shared" si="25"/>
        <v>0</v>
      </c>
      <c r="F131" s="4">
        <f t="shared" si="26"/>
        <v>0</v>
      </c>
      <c r="G131" s="4">
        <f t="shared" si="27"/>
        <v>0</v>
      </c>
      <c r="H131" s="4">
        <f t="shared" si="28"/>
        <v>0</v>
      </c>
    </row>
    <row r="132" spans="1:8" x14ac:dyDescent="0.2">
      <c r="A132" s="40">
        <f>'R9'!B154</f>
        <v>0</v>
      </c>
      <c r="B132" s="4" t="str">
        <f>IF('R9'!K137="non-UC","No","Yes")</f>
        <v>No</v>
      </c>
      <c r="C132" s="4">
        <f t="shared" si="29"/>
        <v>0</v>
      </c>
      <c r="D132" s="4">
        <f t="shared" si="24"/>
        <v>0</v>
      </c>
      <c r="E132" s="4">
        <f t="shared" si="25"/>
        <v>0</v>
      </c>
      <c r="F132" s="4">
        <f t="shared" si="26"/>
        <v>0</v>
      </c>
      <c r="G132" s="4">
        <f t="shared" si="27"/>
        <v>0</v>
      </c>
      <c r="H132" s="4">
        <f t="shared" si="28"/>
        <v>0</v>
      </c>
    </row>
    <row r="133" spans="1:8" x14ac:dyDescent="0.2">
      <c r="A133" s="40">
        <f>'R9'!B155</f>
        <v>0</v>
      </c>
      <c r="B133" s="4" t="str">
        <f>IF('R9'!K138="non-UC","No","Yes")</f>
        <v>No</v>
      </c>
      <c r="C133" s="4">
        <f t="shared" si="29"/>
        <v>0</v>
      </c>
      <c r="D133" s="4">
        <f t="shared" si="24"/>
        <v>0</v>
      </c>
      <c r="E133" s="4">
        <f t="shared" si="25"/>
        <v>0</v>
      </c>
      <c r="F133" s="4">
        <f t="shared" si="26"/>
        <v>0</v>
      </c>
      <c r="G133" s="4">
        <f t="shared" si="27"/>
        <v>0</v>
      </c>
      <c r="H133" s="4">
        <f t="shared" si="28"/>
        <v>0</v>
      </c>
    </row>
    <row r="134" spans="1:8" x14ac:dyDescent="0.2">
      <c r="A134" s="40">
        <f>'R9'!B156</f>
        <v>0</v>
      </c>
      <c r="B134" s="4" t="str">
        <f>IF('R9'!K139="non-UC","No","Yes")</f>
        <v>No</v>
      </c>
      <c r="C134" s="4">
        <f t="shared" si="29"/>
        <v>0</v>
      </c>
      <c r="D134" s="4">
        <f t="shared" si="24"/>
        <v>0</v>
      </c>
      <c r="E134" s="4">
        <f t="shared" si="25"/>
        <v>0</v>
      </c>
      <c r="F134" s="4">
        <f t="shared" si="26"/>
        <v>0</v>
      </c>
      <c r="G134" s="4">
        <f t="shared" si="27"/>
        <v>0</v>
      </c>
      <c r="H134" s="4">
        <f t="shared" si="28"/>
        <v>0</v>
      </c>
    </row>
    <row r="135" spans="1:8" x14ac:dyDescent="0.2">
      <c r="A135" s="40">
        <f>'R9'!B157</f>
        <v>0</v>
      </c>
      <c r="B135" s="4" t="str">
        <f>IF('R9'!K140="non-UC","No","Yes")</f>
        <v>No</v>
      </c>
      <c r="C135" s="4">
        <f t="shared" si="29"/>
        <v>0</v>
      </c>
      <c r="D135" s="4">
        <f t="shared" si="24"/>
        <v>0</v>
      </c>
      <c r="E135" s="4">
        <f t="shared" si="25"/>
        <v>0</v>
      </c>
      <c r="F135" s="4">
        <f t="shared" si="26"/>
        <v>0</v>
      </c>
      <c r="G135" s="4">
        <f t="shared" si="27"/>
        <v>0</v>
      </c>
      <c r="H135" s="4">
        <f t="shared" si="28"/>
        <v>0</v>
      </c>
    </row>
    <row r="136" spans="1:8" x14ac:dyDescent="0.2">
      <c r="A136" s="313" t="s">
        <v>112</v>
      </c>
      <c r="B136" s="313"/>
      <c r="C136" s="41">
        <f>SUM(C121:C135)</f>
        <v>0</v>
      </c>
      <c r="D136" s="41">
        <f>SUM(D121:D135)</f>
        <v>0</v>
      </c>
      <c r="E136" s="41">
        <f t="shared" ref="E136:G136" si="30">SUM(E121:E135)</f>
        <v>0</v>
      </c>
      <c r="F136" s="41">
        <f t="shared" si="30"/>
        <v>0</v>
      </c>
      <c r="G136" s="41">
        <f t="shared" si="30"/>
        <v>0</v>
      </c>
      <c r="H136" s="41">
        <f t="shared" si="28"/>
        <v>0</v>
      </c>
    </row>
    <row r="138" spans="1:8" x14ac:dyDescent="0.2">
      <c r="A138" s="9" t="s">
        <v>114</v>
      </c>
      <c r="B138" s="4" t="s">
        <v>110</v>
      </c>
      <c r="C138" s="9" t="s">
        <v>9</v>
      </c>
      <c r="D138" s="9" t="s">
        <v>10</v>
      </c>
      <c r="E138" s="9" t="s">
        <v>11</v>
      </c>
      <c r="F138" s="9" t="s">
        <v>24</v>
      </c>
      <c r="G138" s="9" t="s">
        <v>12</v>
      </c>
      <c r="H138" s="9" t="s">
        <v>13</v>
      </c>
    </row>
    <row r="139" spans="1:8" x14ac:dyDescent="0.2">
      <c r="A139" s="40">
        <f>'R9'!B161</f>
        <v>0</v>
      </c>
      <c r="B139" s="4" t="str">
        <f>IF('R9'!K126="non-UC","No","Yes")</f>
        <v>No</v>
      </c>
      <c r="C139" s="4">
        <f>IF($B139="Yes",0,C104)</f>
        <v>0</v>
      </c>
      <c r="D139" s="4">
        <f t="shared" ref="D139:G139" si="31">IF($B139="Yes",0,D104)</f>
        <v>0</v>
      </c>
      <c r="E139" s="4">
        <f t="shared" si="31"/>
        <v>0</v>
      </c>
      <c r="F139" s="4">
        <f t="shared" si="31"/>
        <v>0</v>
      </c>
      <c r="G139" s="4">
        <f t="shared" si="31"/>
        <v>0</v>
      </c>
      <c r="H139" s="4">
        <f t="shared" ref="H139:H154" si="32">SUM(C139:G139)</f>
        <v>0</v>
      </c>
    </row>
    <row r="140" spans="1:8" x14ac:dyDescent="0.2">
      <c r="A140" s="40">
        <f>'R9'!B171</f>
        <v>0</v>
      </c>
      <c r="B140" s="4" t="str">
        <f>IF('R9'!K127="non-UC","No","Yes")</f>
        <v>No</v>
      </c>
      <c r="C140" s="4">
        <f t="shared" ref="C140:G153" si="33">IF($B140="Yes",0,C105)</f>
        <v>0</v>
      </c>
      <c r="D140" s="4">
        <f t="shared" si="33"/>
        <v>0</v>
      </c>
      <c r="E140" s="4">
        <f t="shared" si="33"/>
        <v>0</v>
      </c>
      <c r="F140" s="4">
        <f t="shared" si="33"/>
        <v>0</v>
      </c>
      <c r="G140" s="4">
        <f t="shared" si="33"/>
        <v>0</v>
      </c>
      <c r="H140" s="4">
        <f t="shared" si="32"/>
        <v>0</v>
      </c>
    </row>
    <row r="141" spans="1:8" x14ac:dyDescent="0.2">
      <c r="A141" s="40">
        <f>'R9'!B172</f>
        <v>0</v>
      </c>
      <c r="B141" s="4" t="str">
        <f>IF('R9'!K128="non-UC","No","Yes")</f>
        <v>No</v>
      </c>
      <c r="C141" s="4">
        <f t="shared" si="33"/>
        <v>0</v>
      </c>
      <c r="D141" s="4">
        <f t="shared" si="33"/>
        <v>0</v>
      </c>
      <c r="E141" s="4">
        <f t="shared" si="33"/>
        <v>0</v>
      </c>
      <c r="F141" s="4">
        <f t="shared" si="33"/>
        <v>0</v>
      </c>
      <c r="G141" s="4">
        <f t="shared" si="33"/>
        <v>0</v>
      </c>
      <c r="H141" s="4">
        <f t="shared" si="32"/>
        <v>0</v>
      </c>
    </row>
    <row r="142" spans="1:8" x14ac:dyDescent="0.2">
      <c r="A142" s="40">
        <f>'R9'!B173</f>
        <v>0</v>
      </c>
      <c r="B142" s="4" t="str">
        <f>IF('R9'!K129="non-UC","No","Yes")</f>
        <v>No</v>
      </c>
      <c r="C142" s="4">
        <f t="shared" si="33"/>
        <v>0</v>
      </c>
      <c r="D142" s="4">
        <f t="shared" si="33"/>
        <v>0</v>
      </c>
      <c r="E142" s="4">
        <f t="shared" si="33"/>
        <v>0</v>
      </c>
      <c r="F142" s="4">
        <f t="shared" si="33"/>
        <v>0</v>
      </c>
      <c r="G142" s="4">
        <f t="shared" si="33"/>
        <v>0</v>
      </c>
      <c r="H142" s="4">
        <f t="shared" si="32"/>
        <v>0</v>
      </c>
    </row>
    <row r="143" spans="1:8" x14ac:dyDescent="0.2">
      <c r="A143" s="40">
        <f>'R9'!B174</f>
        <v>0</v>
      </c>
      <c r="B143" s="4" t="str">
        <f>IF('R9'!K130="non-UC","No","Yes")</f>
        <v>No</v>
      </c>
      <c r="C143" s="4">
        <f t="shared" si="33"/>
        <v>0</v>
      </c>
      <c r="D143" s="4">
        <f t="shared" si="33"/>
        <v>0</v>
      </c>
      <c r="E143" s="4">
        <f t="shared" si="33"/>
        <v>0</v>
      </c>
      <c r="F143" s="4">
        <f t="shared" si="33"/>
        <v>0</v>
      </c>
      <c r="G143" s="4">
        <f t="shared" si="33"/>
        <v>0</v>
      </c>
      <c r="H143" s="4">
        <f t="shared" si="32"/>
        <v>0</v>
      </c>
    </row>
    <row r="144" spans="1:8" x14ac:dyDescent="0.2">
      <c r="A144" s="40">
        <f>'R9'!B175</f>
        <v>0</v>
      </c>
      <c r="B144" s="4" t="str">
        <f>IF('R9'!K131="non-UC","No","Yes")</f>
        <v>No</v>
      </c>
      <c r="C144" s="4">
        <f t="shared" si="33"/>
        <v>0</v>
      </c>
      <c r="D144" s="4">
        <f t="shared" si="33"/>
        <v>0</v>
      </c>
      <c r="E144" s="4">
        <f t="shared" si="33"/>
        <v>0</v>
      </c>
      <c r="F144" s="4">
        <f t="shared" si="33"/>
        <v>0</v>
      </c>
      <c r="G144" s="4">
        <f t="shared" si="33"/>
        <v>0</v>
      </c>
      <c r="H144" s="4">
        <f t="shared" si="32"/>
        <v>0</v>
      </c>
    </row>
    <row r="145" spans="1:18" x14ac:dyDescent="0.2">
      <c r="A145" s="40">
        <f>'R9'!B176</f>
        <v>0</v>
      </c>
      <c r="B145" s="4" t="str">
        <f>IF('R9'!K132="non-UC","No","Yes")</f>
        <v>No</v>
      </c>
      <c r="C145" s="4">
        <f t="shared" si="33"/>
        <v>0</v>
      </c>
      <c r="D145" s="4">
        <f t="shared" si="33"/>
        <v>0</v>
      </c>
      <c r="E145" s="4">
        <f t="shared" si="33"/>
        <v>0</v>
      </c>
      <c r="F145" s="4">
        <f t="shared" si="33"/>
        <v>0</v>
      </c>
      <c r="G145" s="4">
        <f t="shared" si="33"/>
        <v>0</v>
      </c>
      <c r="H145" s="4">
        <f t="shared" si="32"/>
        <v>0</v>
      </c>
    </row>
    <row r="146" spans="1:18" x14ac:dyDescent="0.2">
      <c r="A146" s="40">
        <f>'R9'!B177</f>
        <v>0</v>
      </c>
      <c r="B146" s="4" t="str">
        <f>IF('R9'!K133="non-UC","No","Yes")</f>
        <v>No</v>
      </c>
      <c r="C146" s="4">
        <f t="shared" si="33"/>
        <v>0</v>
      </c>
      <c r="D146" s="4">
        <f t="shared" si="33"/>
        <v>0</v>
      </c>
      <c r="E146" s="4">
        <f t="shared" si="33"/>
        <v>0</v>
      </c>
      <c r="F146" s="4">
        <f t="shared" si="33"/>
        <v>0</v>
      </c>
      <c r="G146" s="4">
        <f t="shared" si="33"/>
        <v>0</v>
      </c>
      <c r="H146" s="4">
        <f t="shared" si="32"/>
        <v>0</v>
      </c>
    </row>
    <row r="147" spans="1:18" x14ac:dyDescent="0.2">
      <c r="A147" s="40">
        <f>'R9'!B178</f>
        <v>0</v>
      </c>
      <c r="B147" s="4" t="str">
        <f>IF('R9'!K134="non-UC","No","Yes")</f>
        <v>No</v>
      </c>
      <c r="C147" s="4">
        <f t="shared" si="33"/>
        <v>0</v>
      </c>
      <c r="D147" s="4">
        <f t="shared" si="33"/>
        <v>0</v>
      </c>
      <c r="E147" s="4">
        <f t="shared" si="33"/>
        <v>0</v>
      </c>
      <c r="F147" s="4">
        <f t="shared" si="33"/>
        <v>0</v>
      </c>
      <c r="G147" s="4">
        <f t="shared" si="33"/>
        <v>0</v>
      </c>
      <c r="H147" s="4">
        <f t="shared" si="32"/>
        <v>0</v>
      </c>
    </row>
    <row r="148" spans="1:18" x14ac:dyDescent="0.2">
      <c r="A148" s="40">
        <f>'R9'!B179</f>
        <v>0</v>
      </c>
      <c r="B148" s="4" t="str">
        <f>IF('R9'!K135="non-UC","No","Yes")</f>
        <v>No</v>
      </c>
      <c r="C148" s="4">
        <f t="shared" si="33"/>
        <v>0</v>
      </c>
      <c r="D148" s="4">
        <f t="shared" si="33"/>
        <v>0</v>
      </c>
      <c r="E148" s="4">
        <f t="shared" si="33"/>
        <v>0</v>
      </c>
      <c r="F148" s="4">
        <f t="shared" si="33"/>
        <v>0</v>
      </c>
      <c r="G148" s="4">
        <f t="shared" si="33"/>
        <v>0</v>
      </c>
      <c r="H148" s="4">
        <f t="shared" si="32"/>
        <v>0</v>
      </c>
    </row>
    <row r="149" spans="1:18" x14ac:dyDescent="0.2">
      <c r="A149" s="40">
        <f>'R9'!B180</f>
        <v>0</v>
      </c>
      <c r="B149" s="4" t="str">
        <f>IF('R9'!K136="non-UC","No","Yes")</f>
        <v>No</v>
      </c>
      <c r="C149" s="4">
        <f t="shared" si="33"/>
        <v>0</v>
      </c>
      <c r="D149" s="4">
        <f t="shared" si="33"/>
        <v>0</v>
      </c>
      <c r="E149" s="4">
        <f t="shared" si="33"/>
        <v>0</v>
      </c>
      <c r="F149" s="4">
        <f t="shared" si="33"/>
        <v>0</v>
      </c>
      <c r="G149" s="4">
        <f t="shared" si="33"/>
        <v>0</v>
      </c>
      <c r="H149" s="4">
        <f t="shared" si="32"/>
        <v>0</v>
      </c>
    </row>
    <row r="150" spans="1:18" x14ac:dyDescent="0.2">
      <c r="A150" s="40">
        <f>'R9'!B181</f>
        <v>0</v>
      </c>
      <c r="B150" s="4" t="str">
        <f>IF('R9'!K137="non-UC","No","Yes")</f>
        <v>No</v>
      </c>
      <c r="C150" s="4">
        <f t="shared" si="33"/>
        <v>0</v>
      </c>
      <c r="D150" s="4">
        <f t="shared" si="33"/>
        <v>0</v>
      </c>
      <c r="E150" s="4">
        <f t="shared" si="33"/>
        <v>0</v>
      </c>
      <c r="F150" s="4">
        <f t="shared" si="33"/>
        <v>0</v>
      </c>
      <c r="G150" s="4">
        <f t="shared" si="33"/>
        <v>0</v>
      </c>
      <c r="H150" s="4">
        <f t="shared" si="32"/>
        <v>0</v>
      </c>
    </row>
    <row r="151" spans="1:18" x14ac:dyDescent="0.2">
      <c r="A151" s="40">
        <f>'R9'!B182</f>
        <v>0</v>
      </c>
      <c r="B151" s="4" t="str">
        <f>IF('R9'!K138="non-UC","No","Yes")</f>
        <v>No</v>
      </c>
      <c r="C151" s="4">
        <f t="shared" si="33"/>
        <v>0</v>
      </c>
      <c r="D151" s="4">
        <f t="shared" si="33"/>
        <v>0</v>
      </c>
      <c r="E151" s="4">
        <f t="shared" si="33"/>
        <v>0</v>
      </c>
      <c r="F151" s="4">
        <f t="shared" si="33"/>
        <v>0</v>
      </c>
      <c r="G151" s="4">
        <f t="shared" si="33"/>
        <v>0</v>
      </c>
      <c r="H151" s="4">
        <f t="shared" si="32"/>
        <v>0</v>
      </c>
    </row>
    <row r="152" spans="1:18" x14ac:dyDescent="0.2">
      <c r="A152" s="40">
        <f>'R9'!B183</f>
        <v>0</v>
      </c>
      <c r="B152" s="4" t="str">
        <f>IF('R9'!K139="non-UC","No","Yes")</f>
        <v>No</v>
      </c>
      <c r="C152" s="4">
        <f t="shared" si="33"/>
        <v>0</v>
      </c>
      <c r="D152" s="4">
        <f t="shared" si="33"/>
        <v>0</v>
      </c>
      <c r="E152" s="4">
        <f t="shared" si="33"/>
        <v>0</v>
      </c>
      <c r="F152" s="4">
        <f t="shared" si="33"/>
        <v>0</v>
      </c>
      <c r="G152" s="4">
        <f t="shared" si="33"/>
        <v>0</v>
      </c>
      <c r="H152" s="4">
        <f t="shared" si="32"/>
        <v>0</v>
      </c>
    </row>
    <row r="153" spans="1:18" x14ac:dyDescent="0.2">
      <c r="A153" s="40">
        <f>'R9'!B184</f>
        <v>0</v>
      </c>
      <c r="B153" s="4" t="str">
        <f>IF('R9'!K140="non-UC","No","Yes")</f>
        <v>No</v>
      </c>
      <c r="C153" s="4">
        <f t="shared" si="33"/>
        <v>0</v>
      </c>
      <c r="D153" s="4">
        <f t="shared" si="33"/>
        <v>0</v>
      </c>
      <c r="E153" s="4">
        <f t="shared" si="33"/>
        <v>0</v>
      </c>
      <c r="F153" s="4">
        <f t="shared" si="33"/>
        <v>0</v>
      </c>
      <c r="G153" s="4">
        <f t="shared" si="33"/>
        <v>0</v>
      </c>
      <c r="H153" s="4">
        <f t="shared" si="32"/>
        <v>0</v>
      </c>
    </row>
    <row r="154" spans="1:18" x14ac:dyDescent="0.2">
      <c r="A154" s="313" t="s">
        <v>112</v>
      </c>
      <c r="B154" s="313"/>
      <c r="C154" s="41">
        <f>SUM(C139:C153)</f>
        <v>0</v>
      </c>
      <c r="D154" s="41">
        <f>SUM(D139:D153)</f>
        <v>0</v>
      </c>
      <c r="E154" s="41">
        <f t="shared" ref="E154:G154" si="34">SUM(E139:E153)</f>
        <v>0</v>
      </c>
      <c r="F154" s="41">
        <f t="shared" si="34"/>
        <v>0</v>
      </c>
      <c r="G154" s="41">
        <f t="shared" si="34"/>
        <v>0</v>
      </c>
      <c r="H154" s="41">
        <f t="shared" si="32"/>
        <v>0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83</v>
      </c>
      <c r="B157" s="4" t="s">
        <v>98</v>
      </c>
      <c r="C157" s="41">
        <f ca="1">'R9'!N61+'R9'!N86+'R9'!N123+'R9'!N153+SUM('R9'!N172:N176)+SUM('R9'!N187:N204)+'W9'!C136</f>
        <v>0</v>
      </c>
      <c r="D157" s="41">
        <f ca="1">IF(D4="",0,('R9'!O61+'R9'!O86+'R9'!O123+'R9'!O153+SUM('R9'!O172:O176)+SUM('R9'!O187:O204)+'W9'!D136))</f>
        <v>0</v>
      </c>
      <c r="E157" s="41">
        <f ca="1">IF(E4="",0,('R9'!P61+'R9'!P86+'R9'!P123+'R9'!P153+SUM('R9'!P172:P176)+SUM('R9'!P187:P204)+'W9'!E136))</f>
        <v>0</v>
      </c>
      <c r="F157" s="41">
        <f ca="1">IF(F4="",0,('R9'!Q61+'R9'!Q86+'R9'!Q123+'R9'!Q153+SUM('R9'!Q172:Q176)+SUM('R9'!Q187:Q204)+'W9'!F136))</f>
        <v>0</v>
      </c>
      <c r="G157" s="41">
        <f ca="1">IF(G4="",0,('R9'!R61+'R9'!R86+'R9'!R123+'R9'!R153+SUM('R9'!R172:R176)+SUM('R9'!R187:R204)+'W9'!G136))</f>
        <v>0</v>
      </c>
      <c r="H157" s="42">
        <f ca="1">SUM(C157:G157)</f>
        <v>0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115</v>
      </c>
      <c r="C158" s="42">
        <f ca="1">'R9'!N207-'R9'!N141+'W9'!C154</f>
        <v>0</v>
      </c>
      <c r="D158" s="42">
        <f ca="1">IF(D4="",0,('R9'!O207-'R9'!O141+'W9'!D154))</f>
        <v>0</v>
      </c>
      <c r="E158" s="42">
        <f ca="1">IF(E4="",0,('R9'!P207-'R9'!P141+'W9'!E154))</f>
        <v>0</v>
      </c>
      <c r="F158" s="42">
        <f ca="1">IF(F4="",0,('R9'!Q207-'R9'!Q141+'W9'!F154))</f>
        <v>0</v>
      </c>
      <c r="G158" s="42">
        <f ca="1">IF(G4="",0,('R9'!R207-'R9'!R141+'W9'!G154))</f>
        <v>0</v>
      </c>
      <c r="H158" s="42">
        <f ca="1">SUM(C158:G158)</f>
        <v>0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116</v>
      </c>
      <c r="C159" s="41">
        <f ca="1">ROUND(('R9'!N207-'R9'!N141+'W9'!C154)/(1-'R9'!$L$210),0)</f>
        <v>0</v>
      </c>
      <c r="D159" s="41">
        <f ca="1">IF(D4="",0,(ROUND(('R9'!O207-'R9'!O141+'W9'!D154)/(1-'R9'!$L$210),0)))</f>
        <v>0</v>
      </c>
      <c r="E159" s="41">
        <f ca="1">IF(E4="",0,(ROUND(('R9'!P207-'R9'!P141+'W9'!E154)/(1-'R9'!$L$210),0)))</f>
        <v>0</v>
      </c>
      <c r="F159" s="41">
        <f ca="1">IF(F4="",0,(ROUND(('R9'!Q207-'R9'!Q141+'W9'!F154)/(1-'R9'!$L$210),0)))</f>
        <v>0</v>
      </c>
      <c r="G159" s="41">
        <f ca="1">IF(G4="",0,(ROUND(('R9'!R207-'R9'!R141+'W9'!G154)/(1-'R9'!$L$210),0)))</f>
        <v>0</v>
      </c>
      <c r="H159" s="42">
        <f ca="1">SUM(C159:G159)</f>
        <v>0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210</v>
      </c>
      <c r="C160" s="216">
        <f>SUM('R9'!N172:N176)</f>
        <v>0</v>
      </c>
      <c r="D160" s="216">
        <f>SUM('R9'!O172:O176)</f>
        <v>0</v>
      </c>
      <c r="E160" s="216">
        <f>SUM('R9'!P172:P176)</f>
        <v>0</v>
      </c>
      <c r="F160" s="216">
        <f>SUM('R9'!Q172:Q176)</f>
        <v>0</v>
      </c>
      <c r="G160" s="216">
        <f>SUM('R9'!R172:R176)</f>
        <v>0</v>
      </c>
      <c r="H160" s="216">
        <f>SUM(C160:G160)</f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122</v>
      </c>
      <c r="B161" s="1" t="str">
        <f>'R9'!D159</f>
        <v>Resident</v>
      </c>
      <c r="C161" s="1" t="s">
        <v>13</v>
      </c>
      <c r="D161" s="1" t="s">
        <v>164</v>
      </c>
      <c r="E161" s="3" t="s">
        <v>46</v>
      </c>
      <c r="F161" s="3" t="s">
        <v>47</v>
      </c>
      <c r="G161" s="3" t="s">
        <v>123</v>
      </c>
      <c r="H161" s="3" t="s">
        <v>124</v>
      </c>
      <c r="I161" s="69" t="s">
        <v>125</v>
      </c>
      <c r="J161" s="69" t="s">
        <v>126</v>
      </c>
      <c r="K161" s="122" t="s">
        <v>155</v>
      </c>
      <c r="L161" s="122" t="s">
        <v>156</v>
      </c>
      <c r="M161" s="122" t="s">
        <v>157</v>
      </c>
      <c r="N161" s="122" t="s">
        <v>158</v>
      </c>
      <c r="O161" s="122" t="s">
        <v>159</v>
      </c>
      <c r="P161" s="23"/>
      <c r="Q161" s="23"/>
      <c r="R161" s="23"/>
    </row>
    <row r="162" spans="1:18" x14ac:dyDescent="0.2">
      <c r="A162" s="4">
        <f>'R9'!A159</f>
        <v>0</v>
      </c>
      <c r="B162" s="26">
        <f>'R9'!F159</f>
        <v>0.1</v>
      </c>
      <c r="C162" s="41">
        <f>'R9'!G159</f>
        <v>17892</v>
      </c>
      <c r="D162" s="41">
        <f>IF('R9'!$D$158="Use Buydown",C162*0.75,C162)</f>
        <v>13419</v>
      </c>
      <c r="E162" s="41">
        <f>IF('R9'!$F$158="AY",ROUND(D162*((1+B162)^$B$24),0),D162)</f>
        <v>13419</v>
      </c>
      <c r="F162" s="41">
        <f>IF('R9'!$F$158="AY",ROUND(D162*((1+$B162)^($B$24+1)),0),ROUND(E162*(1+B162),0))</f>
        <v>14761</v>
      </c>
      <c r="G162" s="41">
        <f>IF('R9'!$F$158="AY",ROUND(D162*((1+$B162)^($B$24+2)),0),ROUND(F162*(1+$B162),0))</f>
        <v>16237</v>
      </c>
      <c r="H162" s="41">
        <f>IF('R9'!$F$158="AY",ROUND(D162*((1+$B162)^($B$24+3)),0),ROUND(G162*(1+$B162),0))</f>
        <v>17861</v>
      </c>
      <c r="I162" s="41">
        <f>IF('R9'!$F$158="AY",ROUND(D162*((1+$B162)^($B$24+4)),0),ROUND(H162*(1+$B162),0))</f>
        <v>19647</v>
      </c>
      <c r="J162" s="41">
        <f>IF('R9'!$F$158="AY",ROUND(D162*((1+$B162)^($B$24+5)),0),ROUND(I162*(1+$B162),0))</f>
        <v>21612</v>
      </c>
      <c r="K162" s="112">
        <f>IF(C$5=0,0,IF('R9'!$F$158="AY",(E162*C$27+F162*C$28)/C$29,'W9'!E162))</f>
        <v>13419</v>
      </c>
      <c r="L162" s="112">
        <f>IF(D$5=0,0,IF('R9'!$F$158="AY",(F162*D$27+G162*D$28)/D$29,'W9'!F162))</f>
        <v>14761</v>
      </c>
      <c r="M162" s="112">
        <f>IF(E$5=0,0,IF('R9'!$F$158="AY",(G162*E$27+H162*E$28)/E$29,'W9'!G162))</f>
        <v>16237</v>
      </c>
      <c r="N162" s="112">
        <f>IF(F$5=0,0,IF('R9'!$F$158="AY",(H162*F$27+I162*F$28)/F$29,'W9'!H162))</f>
        <v>17861</v>
      </c>
      <c r="O162" s="112">
        <f>IF(G$5=0,0,IF('R9'!$F$158="AY",(I162*G$27+J162*G$28)/G$29,'W9'!I162))</f>
        <v>19647</v>
      </c>
      <c r="P162" s="23"/>
      <c r="Q162" s="23"/>
      <c r="R162" s="23"/>
    </row>
    <row r="163" spans="1:18" x14ac:dyDescent="0.2">
      <c r="A163" s="4">
        <f>'R9'!A160</f>
        <v>0</v>
      </c>
      <c r="B163" s="26">
        <f>'R9'!F160</f>
        <v>0.1</v>
      </c>
      <c r="C163" s="41">
        <f>'R9'!G160</f>
        <v>17892</v>
      </c>
      <c r="D163" s="41">
        <f>IF('R9'!$D$158="Use Buydown",C163*0.75,C163)</f>
        <v>13419</v>
      </c>
      <c r="E163" s="41">
        <f>IF('R9'!$F$158="AY",ROUND(D163*((1+B163)^$B$24),0),D163)</f>
        <v>13419</v>
      </c>
      <c r="F163" s="41">
        <f>IF('R9'!$F$158="AY",ROUND(D163*((1+$B163)^($B$24+1)),0),ROUND(E163*(1+B163),0))</f>
        <v>14761</v>
      </c>
      <c r="G163" s="41">
        <f>IF('R9'!$F$158="AY",ROUND(D163*((1+$B163)^($B$24+2)),0),ROUND(F163*(1+$B163),0))</f>
        <v>16237</v>
      </c>
      <c r="H163" s="41">
        <f>IF('R9'!$F$158="AY",ROUND(D163*((1+$B163)^($B$24+3)),0),ROUND(G163*(1+$B163),0))</f>
        <v>17861</v>
      </c>
      <c r="I163" s="41">
        <f>IF('R9'!$F$158="AY",ROUND(D163*((1+$B163)^($B$24+4)),0),ROUND(H163*(1+$B163),0))</f>
        <v>19647</v>
      </c>
      <c r="J163" s="41">
        <f>IF('R9'!$F$158="AY",ROUND(D163*((1+$B163)^($B$24+5)),0),ROUND(I163*(1+$B163),0))</f>
        <v>21612</v>
      </c>
      <c r="K163" s="112">
        <f>IF(C$5=0,0,IF('R9'!$F$158="AY",(E163*C$27+F163*C$28)/C$29,'W9'!E163))</f>
        <v>13419</v>
      </c>
      <c r="L163" s="112">
        <f>IF(D$5=0,0,IF('R9'!$F$158="AY",(F163*D$27+G163*D$28)/D$29,'W9'!F163))</f>
        <v>14761</v>
      </c>
      <c r="M163" s="112">
        <f>IF(E$5=0,0,IF('R9'!$F$158="AY",(G163*E$27+H163*E$28)/E$29,'W9'!G163))</f>
        <v>16237</v>
      </c>
      <c r="N163" s="112">
        <f>IF(F$5=0,0,IF('R9'!$F$158="AY",(H163*F$27+I163*F$28)/F$29,'W9'!H163))</f>
        <v>17861</v>
      </c>
      <c r="O163" s="112">
        <f>IF(G$5=0,0,IF('R9'!$F$158="AY",(I163*G$27+J163*G$28)/G$29,'W9'!I163))</f>
        <v>19647</v>
      </c>
      <c r="P163" s="23"/>
      <c r="Q163" s="23"/>
      <c r="R163" s="23"/>
    </row>
    <row r="164" spans="1:18" x14ac:dyDescent="0.2">
      <c r="A164" s="4">
        <f>'R9'!A161</f>
        <v>0</v>
      </c>
      <c r="B164" s="26">
        <f>'R9'!F161</f>
        <v>0.1</v>
      </c>
      <c r="C164" s="41">
        <f>'R9'!G161</f>
        <v>32994</v>
      </c>
      <c r="D164" s="41">
        <f>IF('R9'!$D$158="Use Buydown",C164*0.75,C164)</f>
        <v>24745.5</v>
      </c>
      <c r="E164" s="41">
        <f>IF('R9'!$F$158="AY",ROUND(D164*((1+B164)^$B$24),0),D164)</f>
        <v>24745.5</v>
      </c>
      <c r="F164" s="41">
        <f>IF('R9'!$F$158="AY",ROUND(D164*((1+$B164)^($B$24+1)),0),ROUND(E164*(1+B164),0))</f>
        <v>27220</v>
      </c>
      <c r="G164" s="41">
        <f>IF('R9'!$F$158="AY",ROUND(D164*((1+$B164)^($B$24+2)),0),ROUND(F164*(1+$B164),0))</f>
        <v>29942</v>
      </c>
      <c r="H164" s="41">
        <f>IF('R9'!$F$158="AY",ROUND(D164*((1+$B164)^($B$24+3)),0),ROUND(G164*(1+$B164),0))</f>
        <v>32936</v>
      </c>
      <c r="I164" s="41">
        <f>IF('R9'!$F$158="AY",ROUND(D164*((1+$B164)^($B$24+4)),0),ROUND(H164*(1+$B164),0))</f>
        <v>36230</v>
      </c>
      <c r="J164" s="41">
        <f>IF('R9'!$F$158="AY",ROUND(D164*((1+$B164)^($B$24+5)),0),ROUND(I164*(1+$B164),0))</f>
        <v>39853</v>
      </c>
      <c r="K164" s="112">
        <f>IF(C$5=0,0,IF('R9'!$F$158="AY",(E164*C$27+F164*C$28)/C$29,'W9'!E164))</f>
        <v>24745.5</v>
      </c>
      <c r="L164" s="112">
        <f>IF(D$5=0,0,IF('R9'!$F$158="AY",(F164*D$27+G164*D$28)/D$29,'W9'!F164))</f>
        <v>27220</v>
      </c>
      <c r="M164" s="112">
        <f>IF(E$5=0,0,IF('R9'!$F$158="AY",(G164*E$27+H164*E$28)/E$29,'W9'!G164))</f>
        <v>29942</v>
      </c>
      <c r="N164" s="112">
        <f>IF(F$5=0,0,IF('R9'!$F$158="AY",(H164*F$27+I164*F$28)/F$29,'W9'!H164))</f>
        <v>32936</v>
      </c>
      <c r="O164" s="112">
        <f>IF(G$5=0,0,IF('R9'!$F$158="AY",(I164*G$27+J164*G$28)/G$29,'W9'!I164))</f>
        <v>36230</v>
      </c>
      <c r="P164" s="23"/>
      <c r="Q164" s="23"/>
      <c r="R164" s="23"/>
    </row>
    <row r="165" spans="1:18" x14ac:dyDescent="0.2">
      <c r="A165" s="4">
        <f>'R9'!A162</f>
        <v>0</v>
      </c>
      <c r="B165" s="26">
        <f>'R9'!F162</f>
        <v>0.1</v>
      </c>
      <c r="C165" s="41">
        <f>'R9'!G162</f>
        <v>17892</v>
      </c>
      <c r="D165" s="41">
        <f>IF('R9'!$D$158="Use Buydown",C165*0.75,C165)</f>
        <v>13419</v>
      </c>
      <c r="E165" s="41">
        <f>IF('R9'!$F$158="AY",ROUND(D165*((1+B165)^$B$24),0),D165)</f>
        <v>13419</v>
      </c>
      <c r="F165" s="41">
        <f>IF('R9'!$F$158="AY",ROUND(D165*((1+$B165)^($B$24+1)),0),ROUND(E165*(1+B165),0))</f>
        <v>14761</v>
      </c>
      <c r="G165" s="41">
        <f>IF('R9'!$F$158="AY",ROUND(D165*((1+$B165)^($B$24+2)),0),ROUND(F165*(1+$B165),0))</f>
        <v>16237</v>
      </c>
      <c r="H165" s="41">
        <f>IF('R9'!$F$158="AY",ROUND(D165*((1+$B165)^($B$24+3)),0),ROUND(G165*(1+$B165),0))</f>
        <v>17861</v>
      </c>
      <c r="I165" s="41">
        <f>IF('R9'!$F$158="AY",ROUND(D165*((1+$B165)^($B$24+4)),0),ROUND(H165*(1+$B165),0))</f>
        <v>19647</v>
      </c>
      <c r="J165" s="41">
        <f>IF('R9'!$F$158="AY",ROUND(D165*((1+$B165)^($B$24+5)),0),ROUND(I165*(1+$B165),0))</f>
        <v>21612</v>
      </c>
      <c r="K165" s="112">
        <f>IF(C$5=0,0,IF('R9'!$F$158="AY",(E165*C$27+F165*C$28)/C$29,'W9'!E165))</f>
        <v>13419</v>
      </c>
      <c r="L165" s="112">
        <f>IF(D$5=0,0,IF('R9'!$F$158="AY",(F165*D$27+G165*D$28)/D$29,'W9'!F165))</f>
        <v>14761</v>
      </c>
      <c r="M165" s="112">
        <f>IF(E$5=0,0,IF('R9'!$F$158="AY",(G165*E$27+H165*E$28)/E$29,'W9'!G165))</f>
        <v>16237</v>
      </c>
      <c r="N165" s="112">
        <f>IF(F$5=0,0,IF('R9'!$F$158="AY",(H165*F$27+I165*F$28)/F$29,'W9'!H165))</f>
        <v>17861</v>
      </c>
      <c r="O165" s="112">
        <f>IF(G$5=0,0,IF('R9'!$F$158="AY",(I165*G$27+J165*G$28)/G$29,'W9'!I165))</f>
        <v>19647</v>
      </c>
      <c r="P165" s="23"/>
      <c r="Q165" s="23"/>
      <c r="R165" s="23"/>
    </row>
    <row r="166" spans="1:18" x14ac:dyDescent="0.2">
      <c r="A166" s="4">
        <f>'R9'!A163</f>
        <v>0</v>
      </c>
      <c r="B166" s="26">
        <f>'R9'!F163</f>
        <v>0.1</v>
      </c>
      <c r="C166" s="41">
        <f>'R9'!G163</f>
        <v>17892</v>
      </c>
      <c r="D166" s="41">
        <f>IF('R9'!$D$158="Use Buydown",C166*0.75,C166)</f>
        <v>13419</v>
      </c>
      <c r="E166" s="41">
        <f>IF('R9'!$F$158="AY",ROUND(D166*((1+B166)^$B$24),0),D166)</f>
        <v>13419</v>
      </c>
      <c r="F166" s="41">
        <f>IF('R9'!$F$158="AY",ROUND(D166*((1+$B166)^($B$24+1)),0),ROUND(E166*(1+B166),0))</f>
        <v>14761</v>
      </c>
      <c r="G166" s="41">
        <f>IF('R9'!$F$158="AY",ROUND(D166*((1+$B166)^($B$24+2)),0),ROUND(F166*(1+$B166),0))</f>
        <v>16237</v>
      </c>
      <c r="H166" s="41">
        <f>IF('R9'!$F$158="AY",ROUND(D166*((1+$B166)^($B$24+3)),0),ROUND(G166*(1+$B166),0))</f>
        <v>17861</v>
      </c>
      <c r="I166" s="41">
        <f>IF('R9'!$F$158="AY",ROUND(D166*((1+$B166)^($B$24+4)),0),ROUND(H166*(1+$B166),0))</f>
        <v>19647</v>
      </c>
      <c r="J166" s="41">
        <f>IF('R9'!$F$158="AY",ROUND(D166*((1+$B166)^($B$24+5)),0),ROUND(I166*(1+$B166),0))</f>
        <v>21612</v>
      </c>
      <c r="K166" s="112">
        <f>IF(C$5=0,0,IF('R9'!$F$158="AY",(E166*C$27+F166*C$28)/C$29,'W9'!E166))</f>
        <v>13419</v>
      </c>
      <c r="L166" s="112">
        <f>IF(D$5=0,0,IF('R9'!$F$158="AY",(F166*D$27+G166*D$28)/D$29,'W9'!F166))</f>
        <v>14761</v>
      </c>
      <c r="M166" s="112">
        <f>IF(E$5=0,0,IF('R9'!$F$158="AY",(G166*E$27+H166*E$28)/E$29,'W9'!G166))</f>
        <v>16237</v>
      </c>
      <c r="N166" s="112">
        <f>IF(F$5=0,0,IF('R9'!$F$158="AY",(H166*F$27+I166*F$28)/F$29,'W9'!H166))</f>
        <v>17861</v>
      </c>
      <c r="O166" s="112">
        <f>IF(G$5=0,0,IF('R9'!$F$158="AY",(I166*G$27+J166*G$28)/G$29,'W9'!I166))</f>
        <v>19647</v>
      </c>
      <c r="P166" s="23"/>
      <c r="Q166" s="23"/>
      <c r="R166" s="23"/>
    </row>
    <row r="167" spans="1:18" x14ac:dyDescent="0.2">
      <c r="A167" s="4">
        <f>'R9'!A164</f>
        <v>0</v>
      </c>
      <c r="B167" s="26">
        <f>'R9'!F164</f>
        <v>0.1</v>
      </c>
      <c r="C167" s="41">
        <f>'R9'!G164</f>
        <v>17892</v>
      </c>
      <c r="D167" s="41">
        <f>IF('R9'!$D$158="Use Buydown",C167*0.75,C167)</f>
        <v>13419</v>
      </c>
      <c r="E167" s="41">
        <f>IF('R9'!$F$158="AY",ROUND(D167*((1+B167)^$B$24),0),D167)</f>
        <v>13419</v>
      </c>
      <c r="F167" s="41">
        <f>IF('R9'!$F$158="AY",ROUND(D167*((1+$B167)^($B$24+1)),0),ROUND(E167*(1+B167),0))</f>
        <v>14761</v>
      </c>
      <c r="G167" s="41">
        <f>IF('R9'!$F$158="AY",ROUND(D167*((1+$B167)^($B$24+2)),0),ROUND(F167*(1+$B167),0))</f>
        <v>16237</v>
      </c>
      <c r="H167" s="41">
        <f>IF('R9'!$F$158="AY",ROUND(D167*((1+$B167)^($B$24+3)),0),ROUND(G167*(1+$B167),0))</f>
        <v>17861</v>
      </c>
      <c r="I167" s="41">
        <f>IF('R9'!$F$158="AY",ROUND(D167*((1+$B167)^($B$24+4)),0),ROUND(H167*(1+$B167),0))</f>
        <v>19647</v>
      </c>
      <c r="J167" s="41">
        <f>IF('R9'!$F$158="AY",ROUND(D167*((1+$B167)^($B$24+5)),0),ROUND(I167*(1+$B167),0))</f>
        <v>21612</v>
      </c>
      <c r="K167" s="112">
        <f>IF(C$5=0,0,IF('R9'!$F$158="AY",(E167*C$27+F167*C$28)/C$29,'W9'!E167))</f>
        <v>13419</v>
      </c>
      <c r="L167" s="112">
        <f>IF(D$5=0,0,IF('R9'!$F$158="AY",(F167*D$27+G167*D$28)/D$29,'W9'!F167))</f>
        <v>14761</v>
      </c>
      <c r="M167" s="112">
        <f>IF(E$5=0,0,IF('R9'!$F$158="AY",(G167*E$27+H167*E$28)/E$29,'W9'!G167))</f>
        <v>16237</v>
      </c>
      <c r="N167" s="112">
        <f>IF(F$5=0,0,IF('R9'!$F$158="AY",(H167*F$27+I167*F$28)/F$29,'W9'!H167))</f>
        <v>17861</v>
      </c>
      <c r="O167" s="112">
        <f>IF(G$5=0,0,IF('R9'!$F$158="AY",(I167*G$27+J167*G$28)/G$29,'W9'!I167))</f>
        <v>19647</v>
      </c>
      <c r="P167" s="23"/>
      <c r="Q167" s="23"/>
      <c r="R167" s="23"/>
    </row>
    <row r="168" spans="1:18" x14ac:dyDescent="0.2">
      <c r="A168" s="4">
        <f>'R9'!A165</f>
        <v>0</v>
      </c>
      <c r="B168" s="26">
        <f>'R9'!F165</f>
        <v>0.1</v>
      </c>
      <c r="C168" s="41">
        <f>'R9'!G165</f>
        <v>17892</v>
      </c>
      <c r="D168" s="41">
        <f>IF('R9'!$D$158="Use Buydown",C168*0.75,C168)</f>
        <v>13419</v>
      </c>
      <c r="E168" s="41">
        <f>IF('R9'!$F$158="AY",ROUND(D168*((1+B168)^$B$24),0),D168)</f>
        <v>13419</v>
      </c>
      <c r="F168" s="41">
        <f>IF('R9'!$F$158="AY",ROUND(D168*((1+$B168)^($B$24+1)),0),ROUND(E168*(1+B168),0))</f>
        <v>14761</v>
      </c>
      <c r="G168" s="41">
        <f>IF('R9'!$F$158="AY",ROUND(D168*((1+$B168)^($B$24+2)),0),ROUND(F168*(1+$B168),0))</f>
        <v>16237</v>
      </c>
      <c r="H168" s="41">
        <f>IF('R9'!$F$158="AY",ROUND(D168*((1+$B168)^($B$24+3)),0),ROUND(G168*(1+$B168),0))</f>
        <v>17861</v>
      </c>
      <c r="I168" s="41">
        <f>IF('R9'!$F$158="AY",ROUND(D168*((1+$B168)^($B$24+4)),0),ROUND(H168*(1+$B168),0))</f>
        <v>19647</v>
      </c>
      <c r="J168" s="41">
        <f>IF('R9'!$F$158="AY",ROUND(D168*((1+$B168)^($B$24+5)),0),ROUND(I168*(1+$B168),0))</f>
        <v>21612</v>
      </c>
      <c r="K168" s="112">
        <f>IF(C$5=0,0,IF('R9'!$F$158="AY",(E168*C$27+F168*C$28)/C$29,'W9'!E168))</f>
        <v>13419</v>
      </c>
      <c r="L168" s="112">
        <f>IF(D$5=0,0,IF('R9'!$F$158="AY",(F168*D$27+G168*D$28)/D$29,'W9'!F168))</f>
        <v>14761</v>
      </c>
      <c r="M168" s="112">
        <f>IF(E$5=0,0,IF('R9'!$F$158="AY",(G168*E$27+H168*E$28)/E$29,'W9'!G168))</f>
        <v>16237</v>
      </c>
      <c r="N168" s="112">
        <f>IF(F$5=0,0,IF('R9'!$F$158="AY",(H168*F$27+I168*F$28)/F$29,'W9'!H168))</f>
        <v>17861</v>
      </c>
      <c r="O168" s="112">
        <f>IF(G$5=0,0,IF('R9'!$F$158="AY",(I168*G$27+J168*G$28)/G$29,'W9'!I168))</f>
        <v>19647</v>
      </c>
    </row>
    <row r="169" spans="1:18" x14ac:dyDescent="0.2">
      <c r="A169" s="4">
        <f>'R9'!A166</f>
        <v>0</v>
      </c>
      <c r="B169" s="26">
        <f>'R9'!F166</f>
        <v>0.1</v>
      </c>
      <c r="C169" s="41">
        <f>'R9'!G166</f>
        <v>17892</v>
      </c>
      <c r="D169" s="41">
        <f>IF('R9'!$D$158="Use Buydown",C169*0.75,C169)</f>
        <v>13419</v>
      </c>
      <c r="E169" s="41">
        <f>IF('R9'!$F$158="AY",ROUND(D169*((1+B169)^$B$24),0),D169)</f>
        <v>13419</v>
      </c>
      <c r="F169" s="41">
        <f>IF('R9'!$F$158="AY",ROUND(D169*((1+$B169)^($B$24+1)),0),ROUND(E169*(1+B169),0))</f>
        <v>14761</v>
      </c>
      <c r="G169" s="41">
        <f>IF('R9'!$F$158="AY",ROUND(D169*((1+$B169)^($B$24+2)),0),ROUND(F169*(1+$B169),0))</f>
        <v>16237</v>
      </c>
      <c r="H169" s="41">
        <f>IF('R9'!$F$158="AY",ROUND(D169*((1+$B169)^($B$24+3)),0),ROUND(G169*(1+$B169),0))</f>
        <v>17861</v>
      </c>
      <c r="I169" s="41">
        <f>IF('R9'!$F$158="AY",ROUND(D169*((1+$B169)^($B$24+4)),0),ROUND(H169*(1+$B169),0))</f>
        <v>19647</v>
      </c>
      <c r="J169" s="41">
        <f>IF('R9'!$F$158="AY",ROUND(D169*((1+$B169)^($B$24+5)),0),ROUND(I169*(1+$B169),0))</f>
        <v>21612</v>
      </c>
      <c r="K169" s="112">
        <f>IF(C$5=0,0,IF('R9'!$F$158="AY",(E169*C$27+F169*C$28)/C$29,'W9'!E169))</f>
        <v>13419</v>
      </c>
      <c r="L169" s="112">
        <f>IF(D$5=0,0,IF('R9'!$F$158="AY",(F169*D$27+G169*D$28)/D$29,'W9'!F169))</f>
        <v>14761</v>
      </c>
      <c r="M169" s="112">
        <f>IF(E$5=0,0,IF('R9'!$F$158="AY",(G169*E$27+H169*E$28)/E$29,'W9'!G169))</f>
        <v>16237</v>
      </c>
      <c r="N169" s="112">
        <f>IF(F$5=0,0,IF('R9'!$F$158="AY",(H169*F$27+I169*F$28)/F$29,'W9'!H169))</f>
        <v>17861</v>
      </c>
      <c r="O169" s="112">
        <f>IF(G$5=0,0,IF('R9'!$F$158="AY",(I169*G$27+J169*G$28)/G$29,'W9'!I169))</f>
        <v>19647</v>
      </c>
    </row>
    <row r="170" spans="1:18" x14ac:dyDescent="0.2">
      <c r="A170" s="4">
        <f>'R9'!A167</f>
        <v>0</v>
      </c>
      <c r="B170" s="26">
        <f>'R9'!F167</f>
        <v>0.1</v>
      </c>
      <c r="C170" s="41">
        <f>'R9'!G167</f>
        <v>17892</v>
      </c>
      <c r="D170" s="41">
        <f>IF('R9'!$D$158="Use Buydown",C170*0.75,C170)</f>
        <v>13419</v>
      </c>
      <c r="E170" s="41">
        <f>IF('R9'!$F$158="AY",ROUND(D170*((1+B170)^$B$24),0),D170)</f>
        <v>13419</v>
      </c>
      <c r="F170" s="41">
        <f>IF('R9'!$F$158="AY",ROUND(D170*((1+$B170)^($B$24+1)),0),ROUND(E170*(1+B170),0))</f>
        <v>14761</v>
      </c>
      <c r="G170" s="41">
        <f>IF('R9'!$F$158="AY",ROUND(D170*((1+$B170)^($B$24+2)),0),ROUND(F170*(1+$B170),0))</f>
        <v>16237</v>
      </c>
      <c r="H170" s="41">
        <f>IF('R9'!$F$158="AY",ROUND(D170*((1+$B170)^($B$24+3)),0),ROUND(G170*(1+$B170),0))</f>
        <v>17861</v>
      </c>
      <c r="I170" s="41">
        <f>IF('R9'!$F$158="AY",ROUND(D170*((1+$B170)^($B$24+4)),0),ROUND(H170*(1+$B170),0))</f>
        <v>19647</v>
      </c>
      <c r="J170" s="41">
        <f>IF('R9'!$F$158="AY",ROUND(D170*((1+$B170)^($B$24+5)),0),ROUND(I170*(1+$B170),0))</f>
        <v>21612</v>
      </c>
      <c r="K170" s="112">
        <f>IF(C$5=0,0,IF('R9'!$F$158="AY",(E170*C$27+F170*C$28)/C$29,'W9'!E170))</f>
        <v>13419</v>
      </c>
      <c r="L170" s="112">
        <f>IF(D$5=0,0,IF('R9'!$F$158="AY",(F170*D$27+G170*D$28)/D$29,'W9'!F170))</f>
        <v>14761</v>
      </c>
      <c r="M170" s="112">
        <f>IF(E$5=0,0,IF('R9'!$F$158="AY",(G170*E$27+H170*E$28)/E$29,'W9'!G170))</f>
        <v>16237</v>
      </c>
      <c r="N170" s="112">
        <f>IF(F$5=0,0,IF('R9'!$F$158="AY",(H170*F$27+I170*F$28)/F$29,'W9'!H170))</f>
        <v>17861</v>
      </c>
      <c r="O170" s="112">
        <f>IF(G$5=0,0,IF('R9'!$F$158="AY",(I170*G$27+J170*G$28)/G$29,'W9'!I170))</f>
        <v>19647</v>
      </c>
    </row>
    <row r="171" spans="1:18" x14ac:dyDescent="0.2">
      <c r="A171" s="4">
        <f>'R9'!A168</f>
        <v>0</v>
      </c>
      <c r="B171" s="26">
        <f>'R9'!F168</f>
        <v>0.1</v>
      </c>
      <c r="C171" s="41">
        <f>'R9'!G168</f>
        <v>17892</v>
      </c>
      <c r="D171" s="41">
        <f>IF('R9'!$D$158="Use Buydown",C171*0.75,C171)</f>
        <v>13419</v>
      </c>
      <c r="E171" s="41">
        <f>IF('R9'!$F$158="AY",ROUND(D171*((1+B171)^$B$24),0),D171)</f>
        <v>13419</v>
      </c>
      <c r="F171" s="41">
        <f>IF('R9'!$F$158="AY",ROUND(D171*((1+$B171)^($B$24+1)),0),ROUND(E171*(1+B171),0))</f>
        <v>14761</v>
      </c>
      <c r="G171" s="41">
        <f>IF('R9'!$F$158="AY",ROUND(D171*((1+$B171)^($B$24+2)),0),ROUND(F171*(1+$B171),0))</f>
        <v>16237</v>
      </c>
      <c r="H171" s="41">
        <f>IF('R9'!$F$158="AY",ROUND(D171*((1+$B171)^($B$24+3)),0),ROUND(G171*(1+$B171),0))</f>
        <v>17861</v>
      </c>
      <c r="I171" s="41">
        <f>IF('R9'!$F$158="AY",ROUND(D171*((1+$B171)^($B$24+4)),0),ROUND(H171*(1+$B171),0))</f>
        <v>19647</v>
      </c>
      <c r="J171" s="41">
        <f>IF('R9'!$F$158="AY",ROUND(D171*((1+$B171)^($B$24+5)),0),ROUND(I171*(1+$B171),0))</f>
        <v>21612</v>
      </c>
      <c r="K171" s="112">
        <f>IF(C$5=0,0,IF('R9'!$F$158="AY",(E171*C$27+F171*C$28)/C$29,'W9'!E171))</f>
        <v>13419</v>
      </c>
      <c r="L171" s="112">
        <f>IF(D$5=0,0,IF('R9'!$F$158="AY",(F171*D$27+G171*D$28)/D$29,'W9'!F171))</f>
        <v>14761</v>
      </c>
      <c r="M171" s="112">
        <f>IF(E$5=0,0,IF('R9'!$F$158="AY",(G171*E$27+H171*E$28)/E$29,'W9'!G171))</f>
        <v>16237</v>
      </c>
      <c r="N171" s="112">
        <f>IF(F$5=0,0,IF('R9'!$F$158="AY",(H171*F$27+I171*F$28)/F$29,'W9'!H171))</f>
        <v>17861</v>
      </c>
      <c r="O171" s="112">
        <f>IF(G$5=0,0,IF('R9'!$F$158="AY",(I171*G$27+J171*G$28)/G$29,'W9'!I171))</f>
        <v>19647</v>
      </c>
    </row>
    <row r="172" spans="1:18" x14ac:dyDescent="0.2">
      <c r="A172" s="4">
        <f>'R9'!A169</f>
        <v>0</v>
      </c>
      <c r="B172" s="26">
        <f>'R9'!F169</f>
        <v>0.1</v>
      </c>
      <c r="C172" s="41">
        <f>'R9'!G169</f>
        <v>17892</v>
      </c>
      <c r="D172" s="41">
        <f>IF('R9'!$D$158="Use Buydown",C172*0.75,C172)</f>
        <v>13419</v>
      </c>
      <c r="E172" s="41">
        <f>IF('R9'!$F$158="AY",ROUND(D172*((1+B172)^$B$24),0),D172)</f>
        <v>13419</v>
      </c>
      <c r="F172" s="41">
        <f>IF('R9'!$F$158="AY",ROUND(D172*((1+$B172)^($B$24+1)),0),ROUND(E172*(1+B172),0))</f>
        <v>14761</v>
      </c>
      <c r="G172" s="41">
        <f>IF('R9'!$F$158="AY",ROUND(D172*((1+$B172)^($B$24+2)),0),ROUND(F172*(1+$B172),0))</f>
        <v>16237</v>
      </c>
      <c r="H172" s="41">
        <f>IF('R9'!$F$158="AY",ROUND(D172*((1+$B172)^($B$24+3)),0),ROUND(G172*(1+$B172),0))</f>
        <v>17861</v>
      </c>
      <c r="I172" s="41">
        <f>IF('R9'!$F$158="AY",ROUND(D172*((1+$B172)^($B$24+4)),0),ROUND(H172*(1+$B172),0))</f>
        <v>19647</v>
      </c>
      <c r="J172" s="41">
        <f>IF('R9'!$F$158="AY",ROUND(D172*((1+$B172)^($B$24+5)),0),ROUND(I172*(1+$B172),0))</f>
        <v>21612</v>
      </c>
      <c r="K172" s="112">
        <f>IF(C$5=0,0,IF('R9'!$F$158="AY",(E172*C$27+F172*C$28)/C$29,'W9'!E172))</f>
        <v>13419</v>
      </c>
      <c r="L172" s="112">
        <f>IF(D$5=0,0,IF('R9'!$F$158="AY",(F172*D$27+G172*D$28)/D$29,'W9'!F172))</f>
        <v>14761</v>
      </c>
      <c r="M172" s="112">
        <f>IF(E$5=0,0,IF('R9'!$F$158="AY",(G172*E$27+H172*E$28)/E$29,'W9'!G172))</f>
        <v>16237</v>
      </c>
      <c r="N172" s="112">
        <f>IF(F$5=0,0,IF('R9'!$F$158="AY",(H172*F$27+I172*F$28)/F$29,'W9'!H172))</f>
        <v>17861</v>
      </c>
      <c r="O172" s="112">
        <f>IF(G$5=0,0,IF('R9'!$F$158="AY",(I172*G$27+J172*G$28)/G$29,'W9'!I172))</f>
        <v>19647</v>
      </c>
    </row>
    <row r="173" spans="1:18" x14ac:dyDescent="0.2">
      <c r="A173" s="4">
        <f>'R9'!A170</f>
        <v>0</v>
      </c>
      <c r="B173" s="26">
        <f>'R9'!F170</f>
        <v>0.1</v>
      </c>
      <c r="C173" s="41">
        <f>'R9'!G170</f>
        <v>17892</v>
      </c>
      <c r="D173" s="41">
        <f>IF('R9'!$D$158="Use Buydown",C173*0.75,C173)</f>
        <v>13419</v>
      </c>
      <c r="E173" s="41">
        <f>IF('R9'!$F$158="AY",ROUND(D173*((1+B173)^$B$24),0),D173)</f>
        <v>13419</v>
      </c>
      <c r="F173" s="41">
        <f>IF('R9'!$F$158="AY",ROUND(D173*((1+$B173)^($B$24+1)),0),ROUND(E173*(1+B173),0))</f>
        <v>14761</v>
      </c>
      <c r="G173" s="41">
        <f>IF('R9'!$F$158="AY",ROUND(D173*((1+$B173)^($B$24+2)),0),ROUND(F173*(1+$B173),0))</f>
        <v>16237</v>
      </c>
      <c r="H173" s="41">
        <f>IF('R9'!$F$158="AY",ROUND(D173*((1+$B173)^($B$24+3)),0),ROUND(G173*(1+$B173),0))</f>
        <v>17861</v>
      </c>
      <c r="I173" s="41">
        <f>IF('R9'!$F$158="AY",ROUND(D173*((1+$B173)^($B$24+4)),0),ROUND(H173*(1+$B173),0))</f>
        <v>19647</v>
      </c>
      <c r="J173" s="41">
        <f>IF('R9'!$F$158="AY",ROUND(D173*((1+$B173)^($B$24+5)),0),ROUND(I173*(1+$B173),0))</f>
        <v>21612</v>
      </c>
      <c r="K173" s="112">
        <f>IF(C$5=0,0,IF('R9'!$F$158="AY",(E173*C$27+F173*C$28)/C$29,'W9'!E173))</f>
        <v>13419</v>
      </c>
      <c r="L173" s="112">
        <f>IF(D$5=0,0,IF('R9'!$F$158="AY",(F173*D$27+G173*D$28)/D$29,'W9'!F173))</f>
        <v>14761</v>
      </c>
      <c r="M173" s="112">
        <f>IF(E$5=0,0,IF('R9'!$F$158="AY",(G173*E$27+H173*E$28)/E$29,'W9'!G173))</f>
        <v>16237</v>
      </c>
      <c r="N173" s="112">
        <f>IF(F$5=0,0,IF('R9'!$F$158="AY",(H173*F$27+I173*F$28)/F$29,'W9'!H173))</f>
        <v>17861</v>
      </c>
      <c r="O173" s="112">
        <f>IF(G$5=0,0,IF('R9'!$F$158="AY",(I173*G$27+J173*G$28)/G$29,'W9'!I173))</f>
        <v>19647</v>
      </c>
    </row>
    <row r="175" spans="1:18" x14ac:dyDescent="0.2">
      <c r="D175" s="38"/>
      <c r="E175" s="38"/>
    </row>
    <row r="176" spans="1:18" x14ac:dyDescent="0.2">
      <c r="A176" s="2" t="s">
        <v>127</v>
      </c>
    </row>
    <row r="177" spans="1:12" x14ac:dyDescent="0.2">
      <c r="A177" s="40">
        <f>'R9'!B8</f>
        <v>0</v>
      </c>
      <c r="B177" s="131">
        <f>C5</f>
        <v>12</v>
      </c>
      <c r="C177" s="131">
        <f t="shared" ref="C177:F177" si="35">D5</f>
        <v>12</v>
      </c>
      <c r="D177" s="131">
        <f t="shared" si="35"/>
        <v>12</v>
      </c>
      <c r="E177" s="131">
        <f t="shared" si="35"/>
        <v>12</v>
      </c>
      <c r="F177" s="131">
        <f t="shared" si="35"/>
        <v>12</v>
      </c>
      <c r="G177" s="70">
        <f>'R9'!L8</f>
        <v>12</v>
      </c>
      <c r="H177" s="70">
        <f>IF('P9'!$L3="No",('R9'!F8*B177/12*'R9'!$L8),('R9'!F8*'W9'!B177))</f>
        <v>0</v>
      </c>
      <c r="I177" s="70">
        <f>IF('P9'!$L3="No",('R9'!G8*C177/12*'R9'!$L8),('R9'!G8*'W9'!C177))</f>
        <v>0</v>
      </c>
      <c r="J177" s="70">
        <f>IF('P9'!$L3="No",('R9'!H8*D177/12*'R9'!$L8),('R9'!H8*'W9'!D177))</f>
        <v>0</v>
      </c>
      <c r="K177" s="70">
        <f>IF('P9'!$L3="No",('R9'!I8*E177/12*'R9'!$L8),('R9'!I8*'W9'!E177))</f>
        <v>0</v>
      </c>
      <c r="L177" s="70">
        <f>IF('P9'!$L3="No",('R9'!J8*F177/12*'R9'!$L8),('R9'!J8*'W9'!F177))</f>
        <v>0</v>
      </c>
    </row>
    <row r="178" spans="1:12" x14ac:dyDescent="0.2">
      <c r="A178" s="40">
        <f>'R9'!B9</f>
        <v>0</v>
      </c>
      <c r="B178" s="131">
        <f>B177</f>
        <v>12</v>
      </c>
      <c r="C178" s="131">
        <f t="shared" ref="C178:F193" si="36">C177</f>
        <v>12</v>
      </c>
      <c r="D178" s="131">
        <f t="shared" si="36"/>
        <v>12</v>
      </c>
      <c r="E178" s="131">
        <f t="shared" si="36"/>
        <v>12</v>
      </c>
      <c r="F178" s="131">
        <f t="shared" si="36"/>
        <v>12</v>
      </c>
      <c r="G178" s="70">
        <f>'R9'!L9</f>
        <v>12</v>
      </c>
      <c r="H178" s="70">
        <f>IF('P9'!L4="No",('R9'!F9*B178/12*'R9'!$L9),('R9'!F9*'W9'!B178))</f>
        <v>0</v>
      </c>
      <c r="I178" s="70">
        <f>IF('P9'!$L4="No",('R9'!G9*C178/12*'R9'!$L9),('R9'!G9*'W9'!C178))</f>
        <v>0</v>
      </c>
      <c r="J178" s="70">
        <f>IF('P9'!$L4="No",('R9'!H9*D178/12*'R9'!$L9),('R9'!H9*'W9'!D178))</f>
        <v>0</v>
      </c>
      <c r="K178" s="70">
        <f>IF('P9'!$L4="No",('R9'!I9*E178/12*'R9'!$L9),('R9'!I9*'W9'!E178))</f>
        <v>0</v>
      </c>
      <c r="L178" s="70">
        <f>IF('P9'!$L4="No",('R9'!J9*F178/12*'R9'!$L9),('R9'!J9*'W9'!F178))</f>
        <v>0</v>
      </c>
    </row>
    <row r="179" spans="1:12" x14ac:dyDescent="0.2">
      <c r="A179" s="40">
        <f>'R9'!B10</f>
        <v>0</v>
      </c>
      <c r="B179" s="131">
        <f t="shared" ref="B179:F194" si="37">B178</f>
        <v>12</v>
      </c>
      <c r="C179" s="131">
        <f t="shared" si="36"/>
        <v>12</v>
      </c>
      <c r="D179" s="131">
        <f t="shared" si="36"/>
        <v>12</v>
      </c>
      <c r="E179" s="131">
        <f t="shared" si="36"/>
        <v>12</v>
      </c>
      <c r="F179" s="131">
        <f t="shared" si="36"/>
        <v>12</v>
      </c>
      <c r="G179" s="70">
        <f>'R9'!L10</f>
        <v>12</v>
      </c>
      <c r="H179" s="70">
        <f>IF('P9'!L5="No",('R9'!F10*B179/12*'R9'!$L10),('R9'!F10*'W9'!B179))</f>
        <v>0</v>
      </c>
      <c r="I179" s="70">
        <f>IF('P9'!$L5="No",('R9'!G10*C179/12*'R9'!$L10),('R9'!G10*'W9'!C179))</f>
        <v>0</v>
      </c>
      <c r="J179" s="70">
        <f>IF('P9'!$L5="No",('R9'!H10*D179/12*'R9'!$L10),('R9'!H10*'W9'!D179))</f>
        <v>0</v>
      </c>
      <c r="K179" s="70">
        <f>IF('P9'!$L5="No",('R9'!I10*E179/12*'R9'!$L10),('R9'!I10*'W9'!E179))</f>
        <v>0</v>
      </c>
      <c r="L179" s="70">
        <f>IF('P9'!$L5="No",('R9'!J10*F179/12*'R9'!$L10),('R9'!J10*'W9'!F179))</f>
        <v>0</v>
      </c>
    </row>
    <row r="180" spans="1:12" x14ac:dyDescent="0.2">
      <c r="A180" s="40">
        <f>'R9'!B11</f>
        <v>0</v>
      </c>
      <c r="B180" s="131">
        <f t="shared" si="37"/>
        <v>12</v>
      </c>
      <c r="C180" s="131">
        <f t="shared" si="36"/>
        <v>12</v>
      </c>
      <c r="D180" s="131">
        <f t="shared" si="36"/>
        <v>12</v>
      </c>
      <c r="E180" s="131">
        <f t="shared" si="36"/>
        <v>12</v>
      </c>
      <c r="F180" s="131">
        <f t="shared" si="36"/>
        <v>12</v>
      </c>
      <c r="G180" s="70">
        <f>'R9'!L11</f>
        <v>12</v>
      </c>
      <c r="H180" s="70">
        <f>IF('P9'!L6="No",('R9'!F11*B180/12*'R9'!$L11),('R9'!F11*'W9'!B180))</f>
        <v>0</v>
      </c>
      <c r="I180" s="70">
        <f>IF('P9'!$L6="No",('R9'!G11*C180/12*'R9'!$L11),('R9'!G11*'W9'!C180))</f>
        <v>0</v>
      </c>
      <c r="J180" s="70">
        <f>IF('P9'!$L6="No",('R9'!H11*D180/12*'R9'!$L11),('R9'!H11*'W9'!D180))</f>
        <v>0</v>
      </c>
      <c r="K180" s="70">
        <f>IF('P9'!$L6="No",('R9'!I11*E180/12*'R9'!$L11),('R9'!I11*'W9'!E180))</f>
        <v>0</v>
      </c>
      <c r="L180" s="70">
        <f>IF('P9'!$L6="No",('R9'!J11*F180/12*'R9'!$L11),('R9'!J11*'W9'!F180))</f>
        <v>0</v>
      </c>
    </row>
    <row r="181" spans="1:12" x14ac:dyDescent="0.2">
      <c r="A181" s="40">
        <f>'R9'!B12</f>
        <v>0</v>
      </c>
      <c r="B181" s="131">
        <f t="shared" si="37"/>
        <v>12</v>
      </c>
      <c r="C181" s="131">
        <f t="shared" si="36"/>
        <v>12</v>
      </c>
      <c r="D181" s="131">
        <f t="shared" si="36"/>
        <v>12</v>
      </c>
      <c r="E181" s="131">
        <f t="shared" si="36"/>
        <v>12</v>
      </c>
      <c r="F181" s="131">
        <f t="shared" si="36"/>
        <v>12</v>
      </c>
      <c r="G181" s="70">
        <f>'R9'!L12</f>
        <v>12</v>
      </c>
      <c r="H181" s="70">
        <f>IF('P9'!L7="No",('R9'!F12*B181/12*'R9'!$L12),('R9'!F12*'W9'!B181))</f>
        <v>0</v>
      </c>
      <c r="I181" s="70">
        <f>IF('P9'!$L7="No",('R9'!G12*C181/12*'R9'!$L12),('R9'!G12*'W9'!C181))</f>
        <v>0</v>
      </c>
      <c r="J181" s="70">
        <f>IF('P9'!$L7="No",('R9'!H12*D181/12*'R9'!$L12),('R9'!H12*'W9'!D181))</f>
        <v>0</v>
      </c>
      <c r="K181" s="70">
        <f>IF('P9'!$L7="No",('R9'!I12*E181/12*'R9'!$L12),('R9'!I12*'W9'!E181))</f>
        <v>0</v>
      </c>
      <c r="L181" s="70">
        <f>IF('P9'!$L7="No",('R9'!J12*F181/12*'R9'!$L12),('R9'!J12*'W9'!F181))</f>
        <v>0</v>
      </c>
    </row>
    <row r="182" spans="1:12" x14ac:dyDescent="0.2">
      <c r="A182" s="40">
        <f>'R9'!B13</f>
        <v>0</v>
      </c>
      <c r="B182" s="131">
        <f t="shared" si="37"/>
        <v>12</v>
      </c>
      <c r="C182" s="131">
        <f t="shared" si="36"/>
        <v>12</v>
      </c>
      <c r="D182" s="131">
        <f t="shared" si="36"/>
        <v>12</v>
      </c>
      <c r="E182" s="131">
        <f t="shared" si="36"/>
        <v>12</v>
      </c>
      <c r="F182" s="131">
        <f t="shared" si="36"/>
        <v>12</v>
      </c>
      <c r="G182" s="70">
        <f>'R9'!L13</f>
        <v>12</v>
      </c>
      <c r="H182" s="70">
        <f>IF('P9'!L8="No",('R9'!F13*B182/12*'R9'!$L13),('R9'!F13*'W9'!B182))</f>
        <v>0</v>
      </c>
      <c r="I182" s="70">
        <f>IF('P9'!$L8="No",('R9'!G13*C182/12*'R9'!$L13),('R9'!G13*'W9'!C182))</f>
        <v>0</v>
      </c>
      <c r="J182" s="70">
        <f>IF('P9'!$L8="No",('R9'!H13*D182/12*'R9'!$L13),('R9'!H13*'W9'!D182))</f>
        <v>0</v>
      </c>
      <c r="K182" s="70">
        <f>IF('P9'!$L8="No",('R9'!I13*E182/12*'R9'!$L13),('R9'!I13*'W9'!E182))</f>
        <v>0</v>
      </c>
      <c r="L182" s="70">
        <f>IF('P9'!$L8="No",('R9'!J13*F182/12*'R9'!$L13),('R9'!J13*'W9'!F182))</f>
        <v>0</v>
      </c>
    </row>
    <row r="183" spans="1:12" x14ac:dyDescent="0.2">
      <c r="A183" s="40">
        <f>'R9'!B14</f>
        <v>0</v>
      </c>
      <c r="B183" s="131">
        <f t="shared" si="37"/>
        <v>12</v>
      </c>
      <c r="C183" s="131">
        <f t="shared" si="36"/>
        <v>12</v>
      </c>
      <c r="D183" s="131">
        <f t="shared" si="36"/>
        <v>12</v>
      </c>
      <c r="E183" s="131">
        <f t="shared" si="36"/>
        <v>12</v>
      </c>
      <c r="F183" s="131">
        <f t="shared" si="36"/>
        <v>12</v>
      </c>
      <c r="G183" s="70">
        <f>'R9'!L14</f>
        <v>12</v>
      </c>
      <c r="H183" s="70">
        <f>IF('P9'!L9="No",('R9'!F14*B183/12*'R9'!$L14),('R9'!F14*'W9'!B183))</f>
        <v>0</v>
      </c>
      <c r="I183" s="70">
        <f>IF('P9'!$L9="No",('R9'!G14*C183/12*'R9'!$L14),('R9'!G14*'W9'!C183))</f>
        <v>0</v>
      </c>
      <c r="J183" s="70">
        <f>IF('P9'!$L9="No",('R9'!H14*D183/12*'R9'!$L14),('R9'!H14*'W9'!D183))</f>
        <v>0</v>
      </c>
      <c r="K183" s="70">
        <f>IF('P9'!$L9="No",('R9'!I14*E183/12*'R9'!$L14),('R9'!I14*'W9'!E183))</f>
        <v>0</v>
      </c>
      <c r="L183" s="70">
        <f>IF('P9'!$L9="No",('R9'!J14*F183/12*'R9'!$L14),('R9'!J14*'W9'!F183))</f>
        <v>0</v>
      </c>
    </row>
    <row r="184" spans="1:12" x14ac:dyDescent="0.2">
      <c r="A184" s="40">
        <f>'R9'!B15</f>
        <v>0</v>
      </c>
      <c r="B184" s="131">
        <f t="shared" si="37"/>
        <v>12</v>
      </c>
      <c r="C184" s="131">
        <f t="shared" si="36"/>
        <v>12</v>
      </c>
      <c r="D184" s="131">
        <f t="shared" si="36"/>
        <v>12</v>
      </c>
      <c r="E184" s="131">
        <f t="shared" si="36"/>
        <v>12</v>
      </c>
      <c r="F184" s="131">
        <f t="shared" si="36"/>
        <v>12</v>
      </c>
      <c r="G184" s="70">
        <f>'R9'!L15</f>
        <v>12</v>
      </c>
      <c r="H184" s="70">
        <f>IF('P9'!L10="No",('R9'!F15*B184/12*'R9'!$L15),('R9'!F15*'W9'!B184))</f>
        <v>0</v>
      </c>
      <c r="I184" s="70">
        <f>IF('P9'!$L10="No",('R9'!G15*C184/12*'R9'!$L15),('R9'!G15*'W9'!C184))</f>
        <v>0</v>
      </c>
      <c r="J184" s="70">
        <f>IF('P9'!$L10="No",('R9'!H15*D184/12*'R9'!$L15),('R9'!H15*'W9'!D184))</f>
        <v>0</v>
      </c>
      <c r="K184" s="70">
        <f>IF('P9'!$L10="No",('R9'!I15*E184/12*'R9'!$L15),('R9'!I15*'W9'!E184))</f>
        <v>0</v>
      </c>
      <c r="L184" s="70">
        <f>IF('P9'!$L10="No",('R9'!J15*F184/12*'R9'!$L15),('R9'!J15*'W9'!F184))</f>
        <v>0</v>
      </c>
    </row>
    <row r="185" spans="1:12" x14ac:dyDescent="0.2">
      <c r="A185" s="40">
        <f>'R9'!B16</f>
        <v>0</v>
      </c>
      <c r="B185" s="131">
        <f t="shared" si="37"/>
        <v>12</v>
      </c>
      <c r="C185" s="131">
        <f t="shared" si="36"/>
        <v>12</v>
      </c>
      <c r="D185" s="131">
        <f t="shared" si="36"/>
        <v>12</v>
      </c>
      <c r="E185" s="131">
        <f t="shared" si="36"/>
        <v>12</v>
      </c>
      <c r="F185" s="131">
        <f t="shared" si="36"/>
        <v>12</v>
      </c>
      <c r="G185" s="70">
        <f>'R9'!L16</f>
        <v>12</v>
      </c>
      <c r="H185" s="70">
        <f>IF('P9'!L11="No",('R9'!F16*B185/12*'R9'!$L16),('R9'!F16*'W9'!B185))</f>
        <v>0</v>
      </c>
      <c r="I185" s="70">
        <f>IF('P9'!$L11="No",('R9'!G16*C185/12*'R9'!$L16),('R9'!G16*'W9'!C185))</f>
        <v>0</v>
      </c>
      <c r="J185" s="70">
        <f>IF('P9'!$L11="No",('R9'!H16*D185/12*'R9'!$L16),('R9'!H16*'W9'!D185))</f>
        <v>0</v>
      </c>
      <c r="K185" s="70">
        <f>IF('P9'!$L11="No",('R9'!I16*E185/12*'R9'!$L16),('R9'!I16*'W9'!E185))</f>
        <v>0</v>
      </c>
      <c r="L185" s="70">
        <f>IF('P9'!$L11="No",('R9'!J16*F185/12*'R9'!$L16),('R9'!J16*'W9'!F185))</f>
        <v>0</v>
      </c>
    </row>
    <row r="186" spans="1:12" x14ac:dyDescent="0.2">
      <c r="A186" s="40">
        <f>'R9'!B17</f>
        <v>0</v>
      </c>
      <c r="B186" s="131">
        <f t="shared" si="37"/>
        <v>12</v>
      </c>
      <c r="C186" s="131">
        <f t="shared" si="36"/>
        <v>12</v>
      </c>
      <c r="D186" s="131">
        <f t="shared" si="36"/>
        <v>12</v>
      </c>
      <c r="E186" s="131">
        <f t="shared" si="36"/>
        <v>12</v>
      </c>
      <c r="F186" s="131">
        <f t="shared" si="36"/>
        <v>12</v>
      </c>
      <c r="G186" s="70">
        <f>'R9'!L17</f>
        <v>12</v>
      </c>
      <c r="H186" s="70">
        <f>IF('P9'!L12="No",('R9'!F17*B186/12*'R9'!$L17),('R9'!F17*'W9'!B186))</f>
        <v>0</v>
      </c>
      <c r="I186" s="70">
        <f>IF('P9'!$L12="No",('R9'!G17*C186/12*'R9'!$L17),('R9'!G17*'W9'!C186))</f>
        <v>0</v>
      </c>
      <c r="J186" s="70">
        <f>IF('P9'!$L12="No",('R9'!H17*D186/12*'R9'!$L17),('R9'!H17*'W9'!D186))</f>
        <v>0</v>
      </c>
      <c r="K186" s="70">
        <f>IF('P9'!$L12="No",('R9'!I17*E186/12*'R9'!$L17),('R9'!I17*'W9'!E186))</f>
        <v>0</v>
      </c>
      <c r="L186" s="70">
        <f>IF('P9'!$L12="No",('R9'!J17*F186/12*'R9'!$L17),('R9'!J17*'W9'!F186))</f>
        <v>0</v>
      </c>
    </row>
    <row r="187" spans="1:12" x14ac:dyDescent="0.2">
      <c r="A187" s="40">
        <f>'R9'!B18</f>
        <v>0</v>
      </c>
      <c r="B187" s="131">
        <f t="shared" si="37"/>
        <v>12</v>
      </c>
      <c r="C187" s="131">
        <f t="shared" si="36"/>
        <v>12</v>
      </c>
      <c r="D187" s="131">
        <f t="shared" si="36"/>
        <v>12</v>
      </c>
      <c r="E187" s="131">
        <f t="shared" si="36"/>
        <v>12</v>
      </c>
      <c r="F187" s="131">
        <f t="shared" si="36"/>
        <v>12</v>
      </c>
      <c r="G187" s="70">
        <f>'R9'!L18</f>
        <v>12</v>
      </c>
      <c r="H187" s="70">
        <f>IF('P9'!L13="No",('R9'!F18*B187/12*'R9'!$L18),('R9'!F18*'W9'!B187))</f>
        <v>0</v>
      </c>
      <c r="I187" s="70">
        <f>IF('P9'!$L13="No",('R9'!G18*C187/12*'R9'!$L18),('R9'!G18*'W9'!C187))</f>
        <v>0</v>
      </c>
      <c r="J187" s="70">
        <f>IF('P9'!$L13="No",('R9'!H18*D187/12*'R9'!$L18),('R9'!H18*'W9'!D187))</f>
        <v>0</v>
      </c>
      <c r="K187" s="70">
        <f>IF('P9'!$L13="No",('R9'!I18*E187/12*'R9'!$L18),('R9'!I18*'W9'!E187))</f>
        <v>0</v>
      </c>
      <c r="L187" s="70">
        <f>IF('P9'!$L13="No",('R9'!J18*F187/12*'R9'!$L18),('R9'!J18*'W9'!F187))</f>
        <v>0</v>
      </c>
    </row>
    <row r="188" spans="1:12" x14ac:dyDescent="0.2">
      <c r="A188" s="40">
        <f>'R9'!B19</f>
        <v>0</v>
      </c>
      <c r="B188" s="131">
        <f t="shared" si="37"/>
        <v>12</v>
      </c>
      <c r="C188" s="131">
        <f t="shared" si="36"/>
        <v>12</v>
      </c>
      <c r="D188" s="131">
        <f t="shared" si="36"/>
        <v>12</v>
      </c>
      <c r="E188" s="131">
        <f t="shared" si="36"/>
        <v>12</v>
      </c>
      <c r="F188" s="131">
        <f t="shared" si="36"/>
        <v>12</v>
      </c>
      <c r="G188" s="70">
        <f>'R9'!L19</f>
        <v>12</v>
      </c>
      <c r="H188" s="70">
        <f>IF('P9'!L14="No",('R9'!F19*B188/12*'R9'!$L19),('R9'!F19*'W9'!B188))</f>
        <v>0</v>
      </c>
      <c r="I188" s="70">
        <f>IF('P9'!$L14="No",('R9'!G19*C188/12*'R9'!$L19),('R9'!G19*'W9'!C188))</f>
        <v>0</v>
      </c>
      <c r="J188" s="70">
        <f>IF('P9'!$L14="No",('R9'!H19*D188/12*'R9'!$L19),('R9'!H19*'W9'!D188))</f>
        <v>0</v>
      </c>
      <c r="K188" s="70">
        <f>IF('P9'!$L14="No",('R9'!I19*E188/12*'R9'!$L19),('R9'!I19*'W9'!E188))</f>
        <v>0</v>
      </c>
      <c r="L188" s="70">
        <f>IF('P9'!$L14="No",('R9'!J19*F188/12*'R9'!$L19),('R9'!J19*'W9'!F188))</f>
        <v>0</v>
      </c>
    </row>
    <row r="189" spans="1:12" x14ac:dyDescent="0.2">
      <c r="A189" s="40">
        <f>'R9'!B20</f>
        <v>0</v>
      </c>
      <c r="B189" s="131">
        <f t="shared" si="37"/>
        <v>12</v>
      </c>
      <c r="C189" s="131">
        <f t="shared" si="36"/>
        <v>12</v>
      </c>
      <c r="D189" s="131">
        <f t="shared" si="36"/>
        <v>12</v>
      </c>
      <c r="E189" s="131">
        <f t="shared" si="36"/>
        <v>12</v>
      </c>
      <c r="F189" s="131">
        <f t="shared" si="36"/>
        <v>12</v>
      </c>
      <c r="G189" s="70">
        <f>'R9'!L20</f>
        <v>12</v>
      </c>
      <c r="H189" s="70">
        <f>IF('P9'!L15="No",('R9'!F20*B189/12*'R9'!$L20),('R9'!F20*'W9'!B189))</f>
        <v>0</v>
      </c>
      <c r="I189" s="70">
        <f>IF('P9'!$L15="No",('R9'!G20*C189/12*'R9'!$L20),('R9'!G20*'W9'!C189))</f>
        <v>0</v>
      </c>
      <c r="J189" s="70">
        <f>IF('P9'!$L15="No",('R9'!H20*D189/12*'R9'!$L20),('R9'!H20*'W9'!D189))</f>
        <v>0</v>
      </c>
      <c r="K189" s="70">
        <f>IF('P9'!$L15="No",('R9'!I20*E189/12*'R9'!$L20),('R9'!I20*'W9'!E189))</f>
        <v>0</v>
      </c>
      <c r="L189" s="70">
        <f>IF('P9'!$L15="No",('R9'!J20*F189/12*'R9'!$L20),('R9'!J20*'W9'!F189))</f>
        <v>0</v>
      </c>
    </row>
    <row r="190" spans="1:12" x14ac:dyDescent="0.2">
      <c r="A190" s="40">
        <f>'R9'!B21</f>
        <v>0</v>
      </c>
      <c r="B190" s="131">
        <f t="shared" si="37"/>
        <v>12</v>
      </c>
      <c r="C190" s="131">
        <f t="shared" si="36"/>
        <v>12</v>
      </c>
      <c r="D190" s="131">
        <f t="shared" si="36"/>
        <v>12</v>
      </c>
      <c r="E190" s="131">
        <f t="shared" si="36"/>
        <v>12</v>
      </c>
      <c r="F190" s="131">
        <f t="shared" si="36"/>
        <v>12</v>
      </c>
      <c r="G190" s="70">
        <f>'R9'!L21</f>
        <v>12</v>
      </c>
      <c r="H190" s="70">
        <f>IF('P9'!L16="No",('R9'!F21*B190/12*'R9'!$L21),('R9'!F21*'W9'!B190))</f>
        <v>0</v>
      </c>
      <c r="I190" s="70">
        <f>IF('P9'!$L16="No",('R9'!G21*C190/12*'R9'!$L21),('R9'!G21*'W9'!C190))</f>
        <v>0</v>
      </c>
      <c r="J190" s="70">
        <f>IF('P9'!$L16="No",('R9'!H21*D190/12*'R9'!$L21),('R9'!H21*'W9'!D190))</f>
        <v>0</v>
      </c>
      <c r="K190" s="70">
        <f>IF('P9'!$L16="No",('R9'!I21*E190/12*'R9'!$L21),('R9'!I21*'W9'!E190))</f>
        <v>0</v>
      </c>
      <c r="L190" s="70">
        <f>IF('P9'!$L16="No",('R9'!J21*F190/12*'R9'!$L21),('R9'!J21*'W9'!F190))</f>
        <v>0</v>
      </c>
    </row>
    <row r="191" spans="1:12" x14ac:dyDescent="0.2">
      <c r="A191" s="40">
        <f>'R9'!B22</f>
        <v>0</v>
      </c>
      <c r="B191" s="131">
        <f t="shared" si="37"/>
        <v>12</v>
      </c>
      <c r="C191" s="131">
        <f t="shared" si="36"/>
        <v>12</v>
      </c>
      <c r="D191" s="131">
        <f t="shared" si="36"/>
        <v>12</v>
      </c>
      <c r="E191" s="131">
        <f t="shared" si="36"/>
        <v>12</v>
      </c>
      <c r="F191" s="131">
        <f t="shared" si="36"/>
        <v>12</v>
      </c>
      <c r="G191" s="70">
        <f>'R9'!L22</f>
        <v>12</v>
      </c>
      <c r="H191" s="70">
        <f>IF('P9'!L17="No",('R9'!F22*B191/12*'R9'!$L22),('R9'!F22*'W9'!B191))</f>
        <v>0</v>
      </c>
      <c r="I191" s="70">
        <f>IF('P9'!$L17="No",('R9'!G22*C191/12*'R9'!$L22),('R9'!G22*'W9'!C191))</f>
        <v>0</v>
      </c>
      <c r="J191" s="70">
        <f>IF('P9'!$L17="No",('R9'!H22*D191/12*'R9'!$L22),('R9'!H22*'W9'!D191))</f>
        <v>0</v>
      </c>
      <c r="K191" s="70">
        <f>IF('P9'!$L17="No",('R9'!I22*E191/12*'R9'!$L22),('R9'!I22*'W9'!E191))</f>
        <v>0</v>
      </c>
      <c r="L191" s="70">
        <f>IF('P9'!$L17="No",('R9'!J22*F191/12*'R9'!$L22),('R9'!J22*'W9'!F191))</f>
        <v>0</v>
      </c>
    </row>
    <row r="192" spans="1:12" x14ac:dyDescent="0.2">
      <c r="A192" s="40">
        <f>'R9'!B23</f>
        <v>0</v>
      </c>
      <c r="B192" s="131">
        <f t="shared" si="37"/>
        <v>12</v>
      </c>
      <c r="C192" s="131">
        <f t="shared" si="36"/>
        <v>12</v>
      </c>
      <c r="D192" s="131">
        <f t="shared" si="36"/>
        <v>12</v>
      </c>
      <c r="E192" s="131">
        <f t="shared" si="36"/>
        <v>12</v>
      </c>
      <c r="F192" s="131">
        <f t="shared" si="36"/>
        <v>12</v>
      </c>
      <c r="G192" s="70">
        <f>'R9'!L23</f>
        <v>12</v>
      </c>
      <c r="H192" s="70">
        <f>IF('P9'!L18="No",('R9'!F23*B192/12*'R9'!$L23),('R9'!F23*'W9'!B192))</f>
        <v>0</v>
      </c>
      <c r="I192" s="70">
        <f>IF('P9'!$L18="No",('R9'!G23*C192/12*'R9'!$L23),('R9'!G23*'W9'!C192))</f>
        <v>0</v>
      </c>
      <c r="J192" s="70">
        <f>IF('P9'!$L18="No",('R9'!H23*D192/12*'R9'!$L23),('R9'!H23*'W9'!D192))</f>
        <v>0</v>
      </c>
      <c r="K192" s="70">
        <f>IF('P9'!$L18="No",('R9'!I23*E192/12*'R9'!$L23),('R9'!I23*'W9'!E192))</f>
        <v>0</v>
      </c>
      <c r="L192" s="70">
        <f>IF('P9'!$L18="No",('R9'!J23*F192/12*'R9'!$L23),('R9'!J23*'W9'!F192))</f>
        <v>0</v>
      </c>
    </row>
    <row r="193" spans="1:12" x14ac:dyDescent="0.2">
      <c r="A193" s="40">
        <f>'R9'!B24</f>
        <v>0</v>
      </c>
      <c r="B193" s="131">
        <f t="shared" si="37"/>
        <v>12</v>
      </c>
      <c r="C193" s="131">
        <f t="shared" si="36"/>
        <v>12</v>
      </c>
      <c r="D193" s="131">
        <f t="shared" si="36"/>
        <v>12</v>
      </c>
      <c r="E193" s="131">
        <f t="shared" si="36"/>
        <v>12</v>
      </c>
      <c r="F193" s="131">
        <f t="shared" si="36"/>
        <v>12</v>
      </c>
      <c r="G193" s="70">
        <f>'R9'!L24</f>
        <v>12</v>
      </c>
      <c r="H193" s="70">
        <f>IF('P9'!L19="No",('R9'!F24*B193/12*'R9'!$L24),('R9'!F24*'W9'!B193))</f>
        <v>0</v>
      </c>
      <c r="I193" s="70">
        <f>IF('P9'!$L19="No",('R9'!G24*C193/12*'R9'!$L24),('R9'!G24*'W9'!C193))</f>
        <v>0</v>
      </c>
      <c r="J193" s="70">
        <f>IF('P9'!$L19="No",('R9'!H24*D193/12*'R9'!$L24),('R9'!H24*'W9'!D193))</f>
        <v>0</v>
      </c>
      <c r="K193" s="70">
        <f>IF('P9'!$L19="No",('R9'!I24*E193/12*'R9'!$L24),('R9'!I24*'W9'!E193))</f>
        <v>0</v>
      </c>
      <c r="L193" s="70">
        <f>IF('P9'!$L19="No",('R9'!J24*F193/12*'R9'!$L24),('R9'!J24*'W9'!F193))</f>
        <v>0</v>
      </c>
    </row>
    <row r="194" spans="1:12" x14ac:dyDescent="0.2">
      <c r="A194" s="40">
        <f>'R9'!B25</f>
        <v>0</v>
      </c>
      <c r="B194" s="131">
        <f t="shared" si="37"/>
        <v>12</v>
      </c>
      <c r="C194" s="131">
        <f t="shared" si="37"/>
        <v>12</v>
      </c>
      <c r="D194" s="131">
        <f t="shared" si="37"/>
        <v>12</v>
      </c>
      <c r="E194" s="131">
        <f t="shared" si="37"/>
        <v>12</v>
      </c>
      <c r="F194" s="131">
        <f t="shared" si="37"/>
        <v>12</v>
      </c>
      <c r="G194" s="70">
        <f>'R9'!L25</f>
        <v>12</v>
      </c>
      <c r="H194" s="70">
        <f>IF('P9'!L20="No",('R9'!F25*B194/12*'R9'!$L25),('R9'!F25*'W9'!B194))</f>
        <v>0</v>
      </c>
      <c r="I194" s="70">
        <f>IF('P9'!$L20="No",('R9'!G25*C194/12*'R9'!$L25),('R9'!G25*'W9'!C194))</f>
        <v>0</v>
      </c>
      <c r="J194" s="70">
        <f>IF('P9'!$L20="No",('R9'!H25*D194/12*'R9'!$L25),('R9'!H25*'W9'!D194))</f>
        <v>0</v>
      </c>
      <c r="K194" s="70">
        <f>IF('P9'!$L20="No",('R9'!I25*E194/12*'R9'!$L25),('R9'!I25*'W9'!E194))</f>
        <v>0</v>
      </c>
      <c r="L194" s="70">
        <f>IF('P9'!$L20="No",('R9'!J25*F194/12*'R9'!$L25),('R9'!J25*'W9'!F194))</f>
        <v>0</v>
      </c>
    </row>
    <row r="195" spans="1:12" x14ac:dyDescent="0.2">
      <c r="A195" s="40">
        <f>'R9'!B26</f>
        <v>0</v>
      </c>
      <c r="B195" s="131">
        <f t="shared" ref="B195:F200" si="38">B194</f>
        <v>12</v>
      </c>
      <c r="C195" s="131">
        <f t="shared" si="38"/>
        <v>12</v>
      </c>
      <c r="D195" s="131">
        <f t="shared" si="38"/>
        <v>12</v>
      </c>
      <c r="E195" s="131">
        <f t="shared" si="38"/>
        <v>12</v>
      </c>
      <c r="F195" s="131">
        <f t="shared" si="38"/>
        <v>12</v>
      </c>
      <c r="G195" s="70">
        <f>'R9'!L26</f>
        <v>12</v>
      </c>
      <c r="H195" s="70">
        <f>IF('P9'!L21="No",('R9'!F26*B195/12*'R9'!$L26),('R9'!F26*'W9'!B195))</f>
        <v>0</v>
      </c>
      <c r="I195" s="70">
        <f>IF('P9'!$L21="No",('R9'!G26*C195/12*'R9'!$L26),('R9'!G26*'W9'!C195))</f>
        <v>0</v>
      </c>
      <c r="J195" s="70">
        <f>IF('P9'!$L21="No",('R9'!H26*D195/12*'R9'!$L26),('R9'!H26*'W9'!D195))</f>
        <v>0</v>
      </c>
      <c r="K195" s="70">
        <f>IF('P9'!$L21="No",('R9'!I26*E195/12*'R9'!$L26),('R9'!I26*'W9'!E195))</f>
        <v>0</v>
      </c>
      <c r="L195" s="70">
        <f>IF('P9'!$L21="No",('R9'!J26*F195/12*'R9'!$L26),('R9'!J26*'W9'!F195))</f>
        <v>0</v>
      </c>
    </row>
    <row r="196" spans="1:12" x14ac:dyDescent="0.2">
      <c r="A196" s="40">
        <f>'R9'!B27</f>
        <v>0</v>
      </c>
      <c r="B196" s="131">
        <f t="shared" si="38"/>
        <v>12</v>
      </c>
      <c r="C196" s="131">
        <f t="shared" si="38"/>
        <v>12</v>
      </c>
      <c r="D196" s="131">
        <f t="shared" si="38"/>
        <v>12</v>
      </c>
      <c r="E196" s="131">
        <f t="shared" si="38"/>
        <v>12</v>
      </c>
      <c r="F196" s="131">
        <f t="shared" si="38"/>
        <v>12</v>
      </c>
      <c r="G196" s="70">
        <f>'R9'!L27</f>
        <v>12</v>
      </c>
      <c r="H196" s="70">
        <f>IF('P9'!L22="No",('R9'!F27*B196/12*'R9'!$L27),('R9'!F27*'W9'!B196))</f>
        <v>0</v>
      </c>
      <c r="I196" s="70">
        <f>IF('P9'!$L22="No",('R9'!G27*C196/12*'R9'!$L27),('R9'!G27*'W9'!C196))</f>
        <v>0</v>
      </c>
      <c r="J196" s="70">
        <f>IF('P9'!$L22="No",('R9'!H27*D196/12*'R9'!$L27),('R9'!H27*'W9'!D196))</f>
        <v>0</v>
      </c>
      <c r="K196" s="70">
        <f>IF('P9'!$L22="No",('R9'!I27*E196/12*'R9'!$L27),('R9'!I27*'W9'!E196))</f>
        <v>0</v>
      </c>
      <c r="L196" s="70">
        <f>IF('P9'!$L22="No",('R9'!J27*F196/12*'R9'!$L27),('R9'!J27*'W9'!F196))</f>
        <v>0</v>
      </c>
    </row>
    <row r="197" spans="1:12" x14ac:dyDescent="0.2">
      <c r="A197" s="40">
        <f>'R9'!B28</f>
        <v>0</v>
      </c>
      <c r="B197" s="131">
        <f t="shared" si="38"/>
        <v>12</v>
      </c>
      <c r="C197" s="131">
        <f t="shared" si="38"/>
        <v>12</v>
      </c>
      <c r="D197" s="131">
        <f t="shared" si="38"/>
        <v>12</v>
      </c>
      <c r="E197" s="131">
        <f t="shared" si="38"/>
        <v>12</v>
      </c>
      <c r="F197" s="131">
        <f t="shared" si="38"/>
        <v>12</v>
      </c>
      <c r="G197" s="70">
        <f>'R9'!L28</f>
        <v>12</v>
      </c>
      <c r="H197" s="70">
        <f>IF('P9'!L23="No",('R9'!F28*B197/12*'R9'!$L28),('R9'!F28*'W9'!B197))</f>
        <v>0</v>
      </c>
      <c r="I197" s="70">
        <f>IF('P9'!$L23="No",('R9'!G28*C197/12*'R9'!$L28),('R9'!G28*'W9'!C197))</f>
        <v>0</v>
      </c>
      <c r="J197" s="70">
        <f>IF('P9'!$L23="No",('R9'!H28*D197/12*'R9'!$L28),('R9'!H28*'W9'!D197))</f>
        <v>0</v>
      </c>
      <c r="K197" s="70">
        <f>IF('P9'!$L23="No",('R9'!I28*E197/12*'R9'!$L28),('R9'!I28*'W9'!E197))</f>
        <v>0</v>
      </c>
      <c r="L197" s="70">
        <f>IF('P9'!$L23="No",('R9'!J28*F197/12*'R9'!$L28),('R9'!J28*'W9'!F197))</f>
        <v>0</v>
      </c>
    </row>
    <row r="198" spans="1:12" x14ac:dyDescent="0.2">
      <c r="A198" s="40">
        <f>'R9'!B29</f>
        <v>0</v>
      </c>
      <c r="B198" s="131">
        <f t="shared" si="38"/>
        <v>12</v>
      </c>
      <c r="C198" s="131">
        <f t="shared" si="38"/>
        <v>12</v>
      </c>
      <c r="D198" s="131">
        <f t="shared" si="38"/>
        <v>12</v>
      </c>
      <c r="E198" s="131">
        <f t="shared" si="38"/>
        <v>12</v>
      </c>
      <c r="F198" s="131">
        <f t="shared" si="38"/>
        <v>12</v>
      </c>
      <c r="G198" s="70">
        <f>'R9'!L29</f>
        <v>12</v>
      </c>
      <c r="H198" s="70">
        <f>IF('P9'!L24="No",('R9'!F29*B198/12*'R9'!$L29),('R9'!F29*'W9'!B198))</f>
        <v>0</v>
      </c>
      <c r="I198" s="70">
        <f>IF('P9'!$L24="No",('R9'!G29*C198/12*'R9'!$L29),('R9'!G29*'W9'!C198))</f>
        <v>0</v>
      </c>
      <c r="J198" s="70">
        <f>IF('P9'!$L24="No",('R9'!H29*D198/12*'R9'!$L29),('R9'!H29*'W9'!D198))</f>
        <v>0</v>
      </c>
      <c r="K198" s="70">
        <f>IF('P9'!$L24="No",('R9'!I29*E198/12*'R9'!$L29),('R9'!I29*'W9'!E198))</f>
        <v>0</v>
      </c>
      <c r="L198" s="70">
        <f>IF('P9'!$L24="No",('R9'!J29*F198/12*'R9'!$L29),('R9'!J29*'W9'!F198))</f>
        <v>0</v>
      </c>
    </row>
    <row r="199" spans="1:12" x14ac:dyDescent="0.2">
      <c r="A199" s="40">
        <f>'R9'!B30</f>
        <v>0</v>
      </c>
      <c r="B199" s="131">
        <f t="shared" si="38"/>
        <v>12</v>
      </c>
      <c r="C199" s="131">
        <f t="shared" si="38"/>
        <v>12</v>
      </c>
      <c r="D199" s="131">
        <f t="shared" si="38"/>
        <v>12</v>
      </c>
      <c r="E199" s="131">
        <f t="shared" si="38"/>
        <v>12</v>
      </c>
      <c r="F199" s="131">
        <f t="shared" si="38"/>
        <v>12</v>
      </c>
      <c r="G199" s="70">
        <f>'R9'!L30</f>
        <v>12</v>
      </c>
      <c r="H199" s="70">
        <f>IF('P9'!L25="No",('R9'!F30*B199/12*'R9'!$L30),('R9'!F30*'W9'!B199))</f>
        <v>0</v>
      </c>
      <c r="I199" s="70">
        <f>IF('P9'!$L25="No",('R9'!G30*C199/12*'R9'!$L30),('R9'!G30*'W9'!C199))</f>
        <v>0</v>
      </c>
      <c r="J199" s="70">
        <f>IF('P9'!$L25="No",('R9'!H30*D199/12*'R9'!$L30),('R9'!H30*'W9'!D199))</f>
        <v>0</v>
      </c>
      <c r="K199" s="70">
        <f>IF('P9'!$L25="No",('R9'!I30*E199/12*'R9'!$L30),('R9'!I30*'W9'!E199))</f>
        <v>0</v>
      </c>
      <c r="L199" s="70">
        <f>IF('P9'!$L25="No",('R9'!J30*F199/12*'R9'!$L30),('R9'!J30*'W9'!F199))</f>
        <v>0</v>
      </c>
    </row>
    <row r="200" spans="1:12" x14ac:dyDescent="0.2">
      <c r="A200" s="40">
        <f>'R9'!B31</f>
        <v>0</v>
      </c>
      <c r="B200" s="131">
        <f t="shared" si="38"/>
        <v>12</v>
      </c>
      <c r="C200" s="131">
        <f t="shared" si="38"/>
        <v>12</v>
      </c>
      <c r="D200" s="131">
        <f t="shared" si="38"/>
        <v>12</v>
      </c>
      <c r="E200" s="131">
        <f t="shared" si="38"/>
        <v>12</v>
      </c>
      <c r="F200" s="131">
        <f t="shared" si="38"/>
        <v>12</v>
      </c>
      <c r="G200" s="70">
        <f>'R9'!L31</f>
        <v>12</v>
      </c>
      <c r="H200" s="70">
        <f>IF('P9'!L26="No",('R9'!F31*B200/12*'R9'!$L31),('R9'!F31*'W9'!B200))</f>
        <v>0</v>
      </c>
      <c r="I200" s="70">
        <f>IF('P9'!$L26="No",('R9'!G31*C200/12*'R9'!$L31),('R9'!G31*'W9'!C200))</f>
        <v>0</v>
      </c>
      <c r="J200" s="70">
        <f>IF('P9'!$L26="No",('R9'!H31*D200/12*'R9'!$L31),('R9'!H31*'W9'!D200))</f>
        <v>0</v>
      </c>
      <c r="K200" s="70">
        <f>IF('P9'!$L26="No",('R9'!I31*E200/12*'R9'!$L31),('R9'!I31*'W9'!E200))</f>
        <v>0</v>
      </c>
      <c r="L200" s="70">
        <f>IF('P9'!$L26="No",('R9'!J31*F200/12*'R9'!$L31),('R9'!J31*'W9'!F200))</f>
        <v>0</v>
      </c>
    </row>
    <row r="203" spans="1:12" x14ac:dyDescent="0.2">
      <c r="A203" s="1" t="s">
        <v>144</v>
      </c>
      <c r="E203" s="258" t="s">
        <v>9</v>
      </c>
      <c r="F203" s="258" t="s">
        <v>10</v>
      </c>
      <c r="G203" s="258" t="s">
        <v>11</v>
      </c>
      <c r="H203" s="258" t="s">
        <v>24</v>
      </c>
      <c r="I203" s="258" t="s">
        <v>12</v>
      </c>
    </row>
    <row r="204" spans="1:12" x14ac:dyDescent="0.2">
      <c r="A204" s="317" t="s">
        <v>141</v>
      </c>
      <c r="B204" s="315" t="s">
        <v>145</v>
      </c>
      <c r="C204" s="315"/>
      <c r="D204" s="316"/>
      <c r="E204" s="112">
        <f>C13</f>
        <v>0.5</v>
      </c>
      <c r="F204" s="112">
        <f t="shared" ref="F204:H205" si="39">D13</f>
        <v>0.5</v>
      </c>
      <c r="G204" s="112">
        <f t="shared" si="39"/>
        <v>0.5</v>
      </c>
      <c r="H204" s="112">
        <f t="shared" si="39"/>
        <v>0.5</v>
      </c>
      <c r="I204" s="112">
        <f>G13</f>
        <v>0.5</v>
      </c>
    </row>
    <row r="205" spans="1:12" x14ac:dyDescent="0.2">
      <c r="A205" s="318"/>
      <c r="B205" s="315" t="s">
        <v>146</v>
      </c>
      <c r="C205" s="315"/>
      <c r="D205" s="316"/>
      <c r="E205" s="112">
        <f>C14</f>
        <v>2.5</v>
      </c>
      <c r="F205" s="112">
        <f t="shared" si="39"/>
        <v>2.5</v>
      </c>
      <c r="G205" s="112">
        <f t="shared" si="39"/>
        <v>2.5</v>
      </c>
      <c r="H205" s="112">
        <f t="shared" si="39"/>
        <v>2.5</v>
      </c>
      <c r="I205" s="112">
        <f>G14</f>
        <v>2.5</v>
      </c>
    </row>
    <row r="206" spans="1:12" x14ac:dyDescent="0.2">
      <c r="A206" s="317" t="s">
        <v>142</v>
      </c>
      <c r="B206" s="315" t="s">
        <v>145</v>
      </c>
      <c r="C206" s="315"/>
      <c r="D206" s="316"/>
      <c r="E206" s="4">
        <f>IF(AND(MONTH(C2)=9,DAY(C2)&lt;=5),0.5,IF(AND(MONTH(C2)=7,DAY(C2)&lt;=5),2.5,IF(AND(MONTH(C2)=7,DAY(C2)&gt;5),2,IF(AND(MONTH(C2)=8,DAY(C2)&lt;=5),1.5,IF(AND(MONTH(C2)=8,DAY(C2)&gt;5),1,0)))))</f>
        <v>0</v>
      </c>
      <c r="F206" s="4">
        <f t="shared" ref="F206:H206" si="40">IF(AND(MONTH(D2)=9,DAY(D2)&lt;=5),0.5,IF(AND(MONTH(D2)=7,DAY(D2)&lt;=5),2.5,IF(AND(MONTH(D2)=7,DAY(D2)&gt;5),2,IF(AND(MONTH(D2)=8,DAY(D2)&lt;=5),1.5,IF(AND(MONTH(D2)=8,DAY(D2)&gt;5),1,0)))))</f>
        <v>0</v>
      </c>
      <c r="G206" s="4">
        <f t="shared" si="40"/>
        <v>0</v>
      </c>
      <c r="H206" s="4">
        <f t="shared" si="40"/>
        <v>0</v>
      </c>
      <c r="I206" s="4">
        <f>IF(AND(MONTH(G2)=9,DAY(G2)&lt;=5),0.5,IF(AND(MONTH(G2)=7,DAY(G2)&lt;=5),2.5,IF(AND(MONTH(G2)=7,DAY(G2)&gt;5),2,IF(AND(MONTH(G2)=8,DAY(G2)&lt;=5),1.5,IF(AND(MONTH(G2)=8,DAY(G2)&gt;5),1,0)))))</f>
        <v>0</v>
      </c>
    </row>
    <row r="207" spans="1:12" x14ac:dyDescent="0.2">
      <c r="A207" s="318"/>
      <c r="B207" s="315" t="s">
        <v>146</v>
      </c>
      <c r="C207" s="315"/>
      <c r="D207" s="316"/>
      <c r="E207" s="4">
        <f>2.5-E206</f>
        <v>2.5</v>
      </c>
      <c r="F207" s="4">
        <f>IF(D4="",0,2.5-F206)</f>
        <v>2.5</v>
      </c>
      <c r="G207" s="4">
        <f t="shared" ref="G207:I207" si="41">IF(E4="",0,2.5-G206)</f>
        <v>2.5</v>
      </c>
      <c r="H207" s="4">
        <f t="shared" si="41"/>
        <v>2.5</v>
      </c>
      <c r="I207" s="4">
        <f t="shared" si="41"/>
        <v>2.5</v>
      </c>
    </row>
    <row r="208" spans="1:12" x14ac:dyDescent="0.2">
      <c r="A208" s="317" t="s">
        <v>143</v>
      </c>
      <c r="B208" s="315" t="s">
        <v>145</v>
      </c>
      <c r="C208" s="315"/>
      <c r="D208" s="316"/>
      <c r="E208" s="4">
        <f>IF(AND(MONTH(C2)=7,DAY(C2)&lt;=5),2,IF(AND(MONTH(C2)=7,DAY(C2)&gt;5),1.5,IF(AND(MONTH(C2)=8,DAY(C2)&lt;=5),1,IF(AND(MONTH(C2)=8,DAY(C2)&gt;5),0.5,0))))</f>
        <v>0</v>
      </c>
      <c r="F208" s="4">
        <f t="shared" ref="F208:I208" si="42">IF(AND(MONTH(D2)=7,DAY(D2)&lt;=5),2,IF(AND(MONTH(D2)=7,DAY(D2)&gt;5),1.5,IF(AND(MONTH(D2)=8,DAY(D2)&lt;=5),1,IF(AND(MONTH(D2)=8,DAY(D2)&gt;5),0.5,0))))</f>
        <v>0</v>
      </c>
      <c r="G208" s="4">
        <f t="shared" si="42"/>
        <v>0</v>
      </c>
      <c r="H208" s="4">
        <f t="shared" si="42"/>
        <v>0</v>
      </c>
      <c r="I208" s="4">
        <f t="shared" si="42"/>
        <v>0</v>
      </c>
    </row>
    <row r="209" spans="1:12" x14ac:dyDescent="0.2">
      <c r="A209" s="318"/>
      <c r="B209" s="315" t="s">
        <v>146</v>
      </c>
      <c r="C209" s="315"/>
      <c r="D209" s="316"/>
      <c r="E209" s="4">
        <f>2-E208</f>
        <v>2</v>
      </c>
      <c r="F209" s="4">
        <f>IF(D4="",0,2-F208)</f>
        <v>2</v>
      </c>
      <c r="G209" s="4">
        <f t="shared" ref="G209:I209" si="43">IF(E4="",0,2-G208)</f>
        <v>2</v>
      </c>
      <c r="H209" s="4">
        <f t="shared" si="43"/>
        <v>2</v>
      </c>
      <c r="I209" s="4">
        <f t="shared" si="43"/>
        <v>2</v>
      </c>
    </row>
    <row r="210" spans="1:12" x14ac:dyDescent="0.2">
      <c r="A210" s="317" t="s">
        <v>142</v>
      </c>
      <c r="B210" s="315" t="s">
        <v>147</v>
      </c>
      <c r="C210" s="315"/>
      <c r="D210" s="316"/>
      <c r="E210" s="114">
        <f>IF(E206&gt;C9,C9,E206)</f>
        <v>0</v>
      </c>
      <c r="F210" s="114">
        <f>IF(F206&gt;D9,D9,F206)</f>
        <v>0</v>
      </c>
      <c r="G210" s="114">
        <f t="shared" ref="G210:I210" si="44">IF(G206&gt;E9,E9,G206)</f>
        <v>0</v>
      </c>
      <c r="H210" s="114">
        <f t="shared" si="44"/>
        <v>0</v>
      </c>
      <c r="I210" s="114">
        <f t="shared" si="44"/>
        <v>0</v>
      </c>
    </row>
    <row r="211" spans="1:12" x14ac:dyDescent="0.2">
      <c r="A211" s="318"/>
      <c r="B211" s="315" t="s">
        <v>148</v>
      </c>
      <c r="C211" s="315"/>
      <c r="D211" s="316"/>
      <c r="E211" s="114">
        <f>IF(E207&gt;C10,C10,E207)</f>
        <v>2.5</v>
      </c>
      <c r="F211" s="114">
        <f t="shared" ref="F211:I211" si="45">IF(F207&gt;D10,D10,F207)</f>
        <v>2.5</v>
      </c>
      <c r="G211" s="114">
        <f t="shared" si="45"/>
        <v>2.5</v>
      </c>
      <c r="H211" s="114">
        <f t="shared" si="45"/>
        <v>2.5</v>
      </c>
      <c r="I211" s="114">
        <f t="shared" si="45"/>
        <v>2.5</v>
      </c>
    </row>
    <row r="212" spans="1:12" x14ac:dyDescent="0.2">
      <c r="A212" s="317" t="s">
        <v>143</v>
      </c>
      <c r="B212" s="315" t="s">
        <v>149</v>
      </c>
      <c r="C212" s="315"/>
      <c r="D212" s="316"/>
      <c r="E212" s="114">
        <f>IF(E208&gt;C9,C9,E208)</f>
        <v>0</v>
      </c>
      <c r="F212" s="114">
        <f t="shared" ref="F212:I213" si="46">IF(F208&gt;D9,D9,F208)</f>
        <v>0</v>
      </c>
      <c r="G212" s="114">
        <f t="shared" si="46"/>
        <v>0</v>
      </c>
      <c r="H212" s="114">
        <f t="shared" si="46"/>
        <v>0</v>
      </c>
      <c r="I212" s="114">
        <f t="shared" si="46"/>
        <v>0</v>
      </c>
    </row>
    <row r="213" spans="1:12" x14ac:dyDescent="0.2">
      <c r="A213" s="318"/>
      <c r="B213" s="315" t="s">
        <v>148</v>
      </c>
      <c r="C213" s="315"/>
      <c r="D213" s="316"/>
      <c r="E213" s="114">
        <f>IF(E209&gt;C10,C10,E209)</f>
        <v>2</v>
      </c>
      <c r="F213" s="114">
        <f t="shared" si="46"/>
        <v>2</v>
      </c>
      <c r="G213" s="114">
        <f t="shared" si="46"/>
        <v>2</v>
      </c>
      <c r="H213" s="114">
        <f>IF(H209&gt;F10,F10,H209)</f>
        <v>2</v>
      </c>
      <c r="I213" s="114">
        <f t="shared" si="46"/>
        <v>2</v>
      </c>
    </row>
    <row r="214" spans="1:12" x14ac:dyDescent="0.2">
      <c r="A214" s="113"/>
      <c r="B214" s="69"/>
      <c r="C214" s="69"/>
      <c r="D214" s="69"/>
      <c r="E214" s="23"/>
      <c r="F214" s="23"/>
      <c r="G214" s="23"/>
      <c r="H214" s="23"/>
      <c r="I214" s="23"/>
    </row>
    <row r="215" spans="1:12" x14ac:dyDescent="0.2">
      <c r="E215" s="78"/>
      <c r="F215" s="17"/>
      <c r="G215" s="17"/>
      <c r="H215" s="17"/>
      <c r="I215" s="17"/>
    </row>
    <row r="216" spans="1:12" x14ac:dyDescent="0.2">
      <c r="A216" s="2" t="s">
        <v>128</v>
      </c>
      <c r="E216" s="17"/>
      <c r="F216" s="17"/>
      <c r="G216" s="17"/>
      <c r="H216" s="17"/>
      <c r="I216" s="17"/>
    </row>
    <row r="217" spans="1:12" x14ac:dyDescent="0.2">
      <c r="A217" s="2"/>
      <c r="B217" s="312" t="s">
        <v>9</v>
      </c>
      <c r="C217" s="312"/>
      <c r="D217" s="312" t="s">
        <v>10</v>
      </c>
      <c r="E217" s="312"/>
      <c r="F217" s="309" t="s">
        <v>11</v>
      </c>
      <c r="G217" s="309"/>
      <c r="H217" s="309" t="s">
        <v>24</v>
      </c>
      <c r="I217" s="309"/>
      <c r="J217" s="309" t="s">
        <v>12</v>
      </c>
      <c r="K217" s="309"/>
    </row>
    <row r="218" spans="1:12" x14ac:dyDescent="0.2">
      <c r="A218" s="75">
        <f t="shared" ref="A218:A241" si="47">A177</f>
        <v>0</v>
      </c>
      <c r="B218" s="4">
        <f>IF(L218="A",IF(H177&lt;$E$204,H177,$E$204),IF(L218="B",IF(H177&lt;$E$210,H177,$E$210),IF(L218="C",IF(H177&lt;$E$212,H177,$E$212),IF(L218="D",0))))</f>
        <v>0</v>
      </c>
      <c r="C218" s="70">
        <f t="shared" ref="C218:C241" si="48">H177-B218</f>
        <v>0</v>
      </c>
      <c r="D218" s="4">
        <f>IF(L218="A",IF(I177&lt;$F$204,I177,$F$204),IF(L218="B",IF(I177&lt;$F$210,I177,$F$210),IF(L218="C",IF(I177&lt;$F$212,I177,$F$212),IF(L218="D",0))))</f>
        <v>0</v>
      </c>
      <c r="E218" s="70">
        <f t="shared" ref="E218:E241" si="49">I177-D218</f>
        <v>0</v>
      </c>
      <c r="F218" s="4">
        <f>IF(L218="A",IF(J177&lt;$G$204,J177,$G$204),IF(L218="B",IF(J177&lt;$G$210,J177,$G$210),IF(L218="C",IF(J177&lt;$G$212,J177,$G$212),IF(L218="D",0))))</f>
        <v>0</v>
      </c>
      <c r="G218" s="70">
        <f t="shared" ref="G218:G241" si="50">J177-F218</f>
        <v>0</v>
      </c>
      <c r="H218" s="4">
        <f>IF(L218="A",IF(K177&lt;$H$204,K177,$H$204),IF(L218="B",IF(K177&lt;$H$210,K177,$H$210),IF(L218="C",IF(K177&lt;$H$212,K177,$H$212),IF(L218="D",0))))</f>
        <v>0</v>
      </c>
      <c r="I218" s="70">
        <f t="shared" ref="I218:I241" si="51">K177-H218</f>
        <v>0</v>
      </c>
      <c r="J218" s="4">
        <f>IF(L218="A",IF(L177&lt;$I$204,L177,$I$204),IF(L218="B",IF(L177&lt;$I$210,L177,$I$210),IF(L218="C",IF(L177&lt;$I$212,L177,$I$212),IF(L218="D",0))))</f>
        <v>0</v>
      </c>
      <c r="K218" s="70">
        <f t="shared" ref="K218:K241" si="52">L177-J218</f>
        <v>0</v>
      </c>
      <c r="L218" s="1" t="str">
        <f>IF('R9'!D36="F-SMRA","A",IF('R9'!D36="F-SMRB","B",IF('R9'!D36="F-SMRC","C","D")))</f>
        <v>D</v>
      </c>
    </row>
    <row r="219" spans="1:12" x14ac:dyDescent="0.2">
      <c r="A219" s="257">
        <f t="shared" si="47"/>
        <v>0</v>
      </c>
      <c r="B219" s="4">
        <f t="shared" ref="B219:B241" si="53">IF(L219="A",IF(H178&lt;$E$204,H178,$E$204),IF(L219="B",IF(H178&lt;$E$210,H178,$E$210),IF(L219="C",IF(H178&lt;$E$212,H178,$E$212),IF(L219="D",0))))</f>
        <v>0</v>
      </c>
      <c r="C219" s="70">
        <f t="shared" si="48"/>
        <v>0</v>
      </c>
      <c r="D219" s="4">
        <f t="shared" ref="D219:D241" si="54">IF(L219="A",IF(I178&lt;$F$204,I178,$F$204),IF(L219="B",IF(I178&lt;$F$210,I178,$F$210),IF(L219="C",IF(I178&lt;$F$212,I178,$F$212),IF(L219="D",0))))</f>
        <v>0</v>
      </c>
      <c r="E219" s="70">
        <f t="shared" si="49"/>
        <v>0</v>
      </c>
      <c r="F219" s="4">
        <f t="shared" ref="F219:F241" si="55">IF(L219="A",IF(J178&lt;$G$204,J178,$G$204),IF(L219="B",IF(J178&lt;$G$210,J178,$G$210),IF(L219="C",IF(J178&lt;$G$212,J178,$G$212),IF(L219="D",0))))</f>
        <v>0</v>
      </c>
      <c r="G219" s="70">
        <f t="shared" si="50"/>
        <v>0</v>
      </c>
      <c r="H219" s="4">
        <f t="shared" ref="H219:H241" si="56">IF(L219="A",IF(K178&lt;$H$204,K178,$H$204),IF(L219="B",IF(K178&lt;$H$210,K178,$H$210),IF(L219="C",IF(K178&lt;$H$212,K178,$H$212),IF(L219="D",0))))</f>
        <v>0</v>
      </c>
      <c r="I219" s="70">
        <f t="shared" si="51"/>
        <v>0</v>
      </c>
      <c r="J219" s="4">
        <f t="shared" ref="J219:J241" si="57">IF(L219="A",IF(L178&lt;$I$204,L178,$I$204),IF(L219="B",IF(L178&lt;$I$210,L178,$I$210),IF(L219="C",IF(L178&lt;$I$212,L178,$I$212),IF(L219="D",0))))</f>
        <v>0</v>
      </c>
      <c r="K219" s="70">
        <f t="shared" si="52"/>
        <v>0</v>
      </c>
      <c r="L219" s="1" t="str">
        <f>IF('R9'!D37="F-SMRA","A",IF('R9'!D37="F-SMRB","B",IF('R9'!D37="F-SMRC","C","D")))</f>
        <v>D</v>
      </c>
    </row>
    <row r="220" spans="1:12" x14ac:dyDescent="0.2">
      <c r="A220" s="257">
        <f t="shared" si="47"/>
        <v>0</v>
      </c>
      <c r="B220" s="4">
        <f t="shared" si="53"/>
        <v>0</v>
      </c>
      <c r="C220" s="70">
        <f t="shared" si="48"/>
        <v>0</v>
      </c>
      <c r="D220" s="4">
        <f t="shared" si="54"/>
        <v>0</v>
      </c>
      <c r="E220" s="70">
        <f t="shared" si="49"/>
        <v>0</v>
      </c>
      <c r="F220" s="4">
        <f t="shared" si="55"/>
        <v>0</v>
      </c>
      <c r="G220" s="70">
        <f t="shared" si="50"/>
        <v>0</v>
      </c>
      <c r="H220" s="4">
        <f t="shared" si="56"/>
        <v>0</v>
      </c>
      <c r="I220" s="70">
        <f t="shared" si="51"/>
        <v>0</v>
      </c>
      <c r="J220" s="4">
        <f t="shared" si="57"/>
        <v>0</v>
      </c>
      <c r="K220" s="70">
        <f t="shared" si="52"/>
        <v>0</v>
      </c>
      <c r="L220" s="1" t="str">
        <f>IF('R9'!D38="F-SMRA","A",IF('R9'!D38="F-SMRB","B",IF('R9'!D38="F-SMRC","C","D")))</f>
        <v>D</v>
      </c>
    </row>
    <row r="221" spans="1:12" x14ac:dyDescent="0.2">
      <c r="A221" s="257">
        <f t="shared" si="47"/>
        <v>0</v>
      </c>
      <c r="B221" s="4">
        <f t="shared" si="53"/>
        <v>0</v>
      </c>
      <c r="C221" s="70">
        <f t="shared" si="48"/>
        <v>0</v>
      </c>
      <c r="D221" s="4">
        <f t="shared" si="54"/>
        <v>0</v>
      </c>
      <c r="E221" s="70">
        <f t="shared" si="49"/>
        <v>0</v>
      </c>
      <c r="F221" s="4">
        <f t="shared" si="55"/>
        <v>0</v>
      </c>
      <c r="G221" s="70">
        <f t="shared" si="50"/>
        <v>0</v>
      </c>
      <c r="H221" s="4">
        <f t="shared" si="56"/>
        <v>0</v>
      </c>
      <c r="I221" s="70">
        <f t="shared" si="51"/>
        <v>0</v>
      </c>
      <c r="J221" s="4">
        <f t="shared" si="57"/>
        <v>0</v>
      </c>
      <c r="K221" s="70">
        <f t="shared" si="52"/>
        <v>0</v>
      </c>
      <c r="L221" s="1" t="str">
        <f>IF('R9'!D39="F-SMRA","A",IF('R9'!D39="F-SMRB","B",IF('R9'!D39="F-SMRC","C","D")))</f>
        <v>D</v>
      </c>
    </row>
    <row r="222" spans="1:12" x14ac:dyDescent="0.2">
      <c r="A222" s="257">
        <f t="shared" si="47"/>
        <v>0</v>
      </c>
      <c r="B222" s="4">
        <f t="shared" si="53"/>
        <v>0</v>
      </c>
      <c r="C222" s="70">
        <f t="shared" si="48"/>
        <v>0</v>
      </c>
      <c r="D222" s="4">
        <f t="shared" si="54"/>
        <v>0</v>
      </c>
      <c r="E222" s="70">
        <f t="shared" si="49"/>
        <v>0</v>
      </c>
      <c r="F222" s="4">
        <f t="shared" si="55"/>
        <v>0</v>
      </c>
      <c r="G222" s="70">
        <f t="shared" si="50"/>
        <v>0</v>
      </c>
      <c r="H222" s="4">
        <f t="shared" si="56"/>
        <v>0</v>
      </c>
      <c r="I222" s="70">
        <f t="shared" si="51"/>
        <v>0</v>
      </c>
      <c r="J222" s="4">
        <f t="shared" si="57"/>
        <v>0</v>
      </c>
      <c r="K222" s="70">
        <f t="shared" si="52"/>
        <v>0</v>
      </c>
      <c r="L222" s="1" t="str">
        <f>IF('R9'!D40="F-SMRA","A",IF('R9'!D40="F-SMRB","B",IF('R9'!D40="F-SMRC","C","D")))</f>
        <v>D</v>
      </c>
    </row>
    <row r="223" spans="1:12" x14ac:dyDescent="0.2">
      <c r="A223" s="257">
        <f t="shared" si="47"/>
        <v>0</v>
      </c>
      <c r="B223" s="4">
        <f t="shared" si="53"/>
        <v>0</v>
      </c>
      <c r="C223" s="70">
        <f t="shared" si="48"/>
        <v>0</v>
      </c>
      <c r="D223" s="4">
        <f t="shared" si="54"/>
        <v>0</v>
      </c>
      <c r="E223" s="70">
        <f t="shared" si="49"/>
        <v>0</v>
      </c>
      <c r="F223" s="4">
        <f t="shared" si="55"/>
        <v>0</v>
      </c>
      <c r="G223" s="70">
        <f t="shared" si="50"/>
        <v>0</v>
      </c>
      <c r="H223" s="4">
        <f t="shared" si="56"/>
        <v>0</v>
      </c>
      <c r="I223" s="70">
        <f t="shared" si="51"/>
        <v>0</v>
      </c>
      <c r="J223" s="4">
        <f>IF(L223="A",IF(L182&lt;$I$204,L182,$I$204),IF(L223="B",IF(L182&lt;$I$210,L182,$I$210),IF(L223="C",IF(L182&lt;$I$212,L182,$I$212),IF(L223="D",0))))</f>
        <v>0</v>
      </c>
      <c r="K223" s="70">
        <f t="shared" si="52"/>
        <v>0</v>
      </c>
      <c r="L223" s="1" t="str">
        <f>IF('R9'!D41="F-SMRA","A",IF('R9'!D41="F-SMRB","B",IF('R9'!D41="F-SMRC","C","D")))</f>
        <v>D</v>
      </c>
    </row>
    <row r="224" spans="1:12" x14ac:dyDescent="0.2">
      <c r="A224" s="257">
        <f t="shared" si="47"/>
        <v>0</v>
      </c>
      <c r="B224" s="4">
        <f t="shared" si="53"/>
        <v>0</v>
      </c>
      <c r="C224" s="70">
        <f t="shared" si="48"/>
        <v>0</v>
      </c>
      <c r="D224" s="4">
        <f t="shared" si="54"/>
        <v>0</v>
      </c>
      <c r="E224" s="70">
        <f t="shared" si="49"/>
        <v>0</v>
      </c>
      <c r="F224" s="4">
        <f t="shared" si="55"/>
        <v>0</v>
      </c>
      <c r="G224" s="70">
        <f t="shared" si="50"/>
        <v>0</v>
      </c>
      <c r="H224" s="4">
        <f t="shared" si="56"/>
        <v>0</v>
      </c>
      <c r="I224" s="70">
        <f t="shared" si="51"/>
        <v>0</v>
      </c>
      <c r="J224" s="4">
        <f t="shared" si="57"/>
        <v>0</v>
      </c>
      <c r="K224" s="70">
        <f t="shared" si="52"/>
        <v>0</v>
      </c>
      <c r="L224" s="1" t="str">
        <f>IF('R9'!D42="F-SMRA","A",IF('R9'!D42="F-SMRB","B",IF('R9'!D42="F-SMRC","C","D")))</f>
        <v>D</v>
      </c>
    </row>
    <row r="225" spans="1:12" x14ac:dyDescent="0.2">
      <c r="A225" s="257">
        <f t="shared" si="47"/>
        <v>0</v>
      </c>
      <c r="B225" s="4">
        <f t="shared" si="53"/>
        <v>0</v>
      </c>
      <c r="C225" s="70">
        <f t="shared" si="48"/>
        <v>0</v>
      </c>
      <c r="D225" s="4">
        <f t="shared" si="54"/>
        <v>0</v>
      </c>
      <c r="E225" s="70">
        <f t="shared" si="49"/>
        <v>0</v>
      </c>
      <c r="F225" s="4">
        <f t="shared" si="55"/>
        <v>0</v>
      </c>
      <c r="G225" s="70">
        <f t="shared" si="50"/>
        <v>0</v>
      </c>
      <c r="H225" s="4">
        <f t="shared" si="56"/>
        <v>0</v>
      </c>
      <c r="I225" s="70">
        <f t="shared" si="51"/>
        <v>0</v>
      </c>
      <c r="J225" s="4">
        <f t="shared" si="57"/>
        <v>0</v>
      </c>
      <c r="K225" s="70">
        <f t="shared" si="52"/>
        <v>0</v>
      </c>
      <c r="L225" s="1" t="str">
        <f>IF('R9'!D43="F-SMRA","A",IF('R9'!D43="F-SMRB","B",IF('R9'!D43="F-SMRC","C","D")))</f>
        <v>D</v>
      </c>
    </row>
    <row r="226" spans="1:12" x14ac:dyDescent="0.2">
      <c r="A226" s="257">
        <f t="shared" si="47"/>
        <v>0</v>
      </c>
      <c r="B226" s="4">
        <f t="shared" si="53"/>
        <v>0</v>
      </c>
      <c r="C226" s="70">
        <f t="shared" si="48"/>
        <v>0</v>
      </c>
      <c r="D226" s="4">
        <f t="shared" si="54"/>
        <v>0</v>
      </c>
      <c r="E226" s="70">
        <f t="shared" si="49"/>
        <v>0</v>
      </c>
      <c r="F226" s="4">
        <f t="shared" si="55"/>
        <v>0</v>
      </c>
      <c r="G226" s="70">
        <f t="shared" si="50"/>
        <v>0</v>
      </c>
      <c r="H226" s="4">
        <f t="shared" si="56"/>
        <v>0</v>
      </c>
      <c r="I226" s="70">
        <f t="shared" si="51"/>
        <v>0</v>
      </c>
      <c r="J226" s="4">
        <f t="shared" si="57"/>
        <v>0</v>
      </c>
      <c r="K226" s="70">
        <f t="shared" si="52"/>
        <v>0</v>
      </c>
      <c r="L226" s="1" t="str">
        <f>IF('R9'!D44="F-SMRA","A",IF('R9'!D44="F-SMRB","B",IF('R9'!D44="F-SMRC","C","D")))</f>
        <v>D</v>
      </c>
    </row>
    <row r="227" spans="1:12" x14ac:dyDescent="0.2">
      <c r="A227" s="257">
        <f t="shared" si="47"/>
        <v>0</v>
      </c>
      <c r="B227" s="4">
        <f t="shared" si="53"/>
        <v>0</v>
      </c>
      <c r="C227" s="70">
        <f t="shared" si="48"/>
        <v>0</v>
      </c>
      <c r="D227" s="4">
        <f t="shared" si="54"/>
        <v>0</v>
      </c>
      <c r="E227" s="70">
        <f t="shared" si="49"/>
        <v>0</v>
      </c>
      <c r="F227" s="4">
        <f t="shared" si="55"/>
        <v>0</v>
      </c>
      <c r="G227" s="70">
        <f t="shared" si="50"/>
        <v>0</v>
      </c>
      <c r="H227" s="4">
        <f t="shared" si="56"/>
        <v>0</v>
      </c>
      <c r="I227" s="70">
        <f t="shared" si="51"/>
        <v>0</v>
      </c>
      <c r="J227" s="4">
        <f t="shared" si="57"/>
        <v>0</v>
      </c>
      <c r="K227" s="70">
        <f t="shared" si="52"/>
        <v>0</v>
      </c>
      <c r="L227" s="1" t="str">
        <f>IF('R9'!D45="F-SMRA","A",IF('R9'!D45="F-SMRB","B",IF('R9'!D45="F-SMRC","C","D")))</f>
        <v>D</v>
      </c>
    </row>
    <row r="228" spans="1:12" x14ac:dyDescent="0.2">
      <c r="A228" s="257">
        <f t="shared" si="47"/>
        <v>0</v>
      </c>
      <c r="B228" s="4">
        <f t="shared" si="53"/>
        <v>0</v>
      </c>
      <c r="C228" s="70">
        <f t="shared" si="48"/>
        <v>0</v>
      </c>
      <c r="D228" s="4">
        <f t="shared" si="54"/>
        <v>0</v>
      </c>
      <c r="E228" s="70">
        <f t="shared" si="49"/>
        <v>0</v>
      </c>
      <c r="F228" s="4">
        <f t="shared" si="55"/>
        <v>0</v>
      </c>
      <c r="G228" s="70">
        <f t="shared" si="50"/>
        <v>0</v>
      </c>
      <c r="H228" s="4">
        <f t="shared" si="56"/>
        <v>0</v>
      </c>
      <c r="I228" s="70">
        <f t="shared" si="51"/>
        <v>0</v>
      </c>
      <c r="J228" s="4">
        <f t="shared" si="57"/>
        <v>0</v>
      </c>
      <c r="K228" s="70">
        <f t="shared" si="52"/>
        <v>0</v>
      </c>
      <c r="L228" s="1" t="str">
        <f>IF('R9'!D46="F-SMRA","A",IF('R9'!D46="F-SMRB","B",IF('R9'!D46="F-SMRC","C","D")))</f>
        <v>D</v>
      </c>
    </row>
    <row r="229" spans="1:12" x14ac:dyDescent="0.2">
      <c r="A229" s="257">
        <f t="shared" si="47"/>
        <v>0</v>
      </c>
      <c r="B229" s="4">
        <f t="shared" si="53"/>
        <v>0</v>
      </c>
      <c r="C229" s="70">
        <f t="shared" si="48"/>
        <v>0</v>
      </c>
      <c r="D229" s="4">
        <f t="shared" si="54"/>
        <v>0</v>
      </c>
      <c r="E229" s="70">
        <f t="shared" si="49"/>
        <v>0</v>
      </c>
      <c r="F229" s="4">
        <f t="shared" si="55"/>
        <v>0</v>
      </c>
      <c r="G229" s="70">
        <f t="shared" si="50"/>
        <v>0</v>
      </c>
      <c r="H229" s="4">
        <f t="shared" si="56"/>
        <v>0</v>
      </c>
      <c r="I229" s="70">
        <f t="shared" si="51"/>
        <v>0</v>
      </c>
      <c r="J229" s="4">
        <f t="shared" si="57"/>
        <v>0</v>
      </c>
      <c r="K229" s="70">
        <f t="shared" si="52"/>
        <v>0</v>
      </c>
      <c r="L229" s="1" t="str">
        <f>IF('R9'!D47="F-SMRA","A",IF('R9'!D47="F-SMRB","B",IF('R9'!D47="F-SMRC","C","D")))</f>
        <v>D</v>
      </c>
    </row>
    <row r="230" spans="1:12" x14ac:dyDescent="0.2">
      <c r="A230" s="257">
        <f t="shared" si="47"/>
        <v>0</v>
      </c>
      <c r="B230" s="4">
        <f t="shared" si="53"/>
        <v>0</v>
      </c>
      <c r="C230" s="70">
        <f t="shared" si="48"/>
        <v>0</v>
      </c>
      <c r="D230" s="4">
        <f t="shared" si="54"/>
        <v>0</v>
      </c>
      <c r="E230" s="70">
        <f t="shared" si="49"/>
        <v>0</v>
      </c>
      <c r="F230" s="4">
        <f t="shared" si="55"/>
        <v>0</v>
      </c>
      <c r="G230" s="70">
        <f t="shared" si="50"/>
        <v>0</v>
      </c>
      <c r="H230" s="4">
        <f t="shared" si="56"/>
        <v>0</v>
      </c>
      <c r="I230" s="70">
        <f t="shared" si="51"/>
        <v>0</v>
      </c>
      <c r="J230" s="4">
        <f t="shared" si="57"/>
        <v>0</v>
      </c>
      <c r="K230" s="70">
        <f t="shared" si="52"/>
        <v>0</v>
      </c>
      <c r="L230" s="1" t="str">
        <f>IF('R9'!D48="F-SMRA","A",IF('R9'!D48="F-SMRB","B",IF('R9'!D48="F-SMRC","C","D")))</f>
        <v>D</v>
      </c>
    </row>
    <row r="231" spans="1:12" x14ac:dyDescent="0.2">
      <c r="A231" s="257">
        <f t="shared" si="47"/>
        <v>0</v>
      </c>
      <c r="B231" s="4">
        <f t="shared" si="53"/>
        <v>0</v>
      </c>
      <c r="C231" s="70">
        <f t="shared" si="48"/>
        <v>0</v>
      </c>
      <c r="D231" s="4">
        <f t="shared" si="54"/>
        <v>0</v>
      </c>
      <c r="E231" s="70">
        <f t="shared" si="49"/>
        <v>0</v>
      </c>
      <c r="F231" s="4">
        <f t="shared" si="55"/>
        <v>0</v>
      </c>
      <c r="G231" s="70">
        <f t="shared" si="50"/>
        <v>0</v>
      </c>
      <c r="H231" s="4">
        <f t="shared" si="56"/>
        <v>0</v>
      </c>
      <c r="I231" s="70">
        <f t="shared" si="51"/>
        <v>0</v>
      </c>
      <c r="J231" s="4">
        <f t="shared" si="57"/>
        <v>0</v>
      </c>
      <c r="K231" s="70">
        <f t="shared" si="52"/>
        <v>0</v>
      </c>
      <c r="L231" s="1" t="str">
        <f>IF('R9'!D49="F-SMRA","A",IF('R9'!D49="F-SMRB","B",IF('R9'!D49="F-SMRC","C","D")))</f>
        <v>D</v>
      </c>
    </row>
    <row r="232" spans="1:12" x14ac:dyDescent="0.2">
      <c r="A232" s="257">
        <f t="shared" si="47"/>
        <v>0</v>
      </c>
      <c r="B232" s="4">
        <f t="shared" si="53"/>
        <v>0</v>
      </c>
      <c r="C232" s="70">
        <f t="shared" si="48"/>
        <v>0</v>
      </c>
      <c r="D232" s="4">
        <f t="shared" si="54"/>
        <v>0</v>
      </c>
      <c r="E232" s="70">
        <f t="shared" si="49"/>
        <v>0</v>
      </c>
      <c r="F232" s="4">
        <f t="shared" si="55"/>
        <v>0</v>
      </c>
      <c r="G232" s="70">
        <f t="shared" si="50"/>
        <v>0</v>
      </c>
      <c r="H232" s="4">
        <f t="shared" si="56"/>
        <v>0</v>
      </c>
      <c r="I232" s="70">
        <f t="shared" si="51"/>
        <v>0</v>
      </c>
      <c r="J232" s="4">
        <f t="shared" si="57"/>
        <v>0</v>
      </c>
      <c r="K232" s="70">
        <f t="shared" si="52"/>
        <v>0</v>
      </c>
      <c r="L232" s="1" t="str">
        <f>IF('R9'!D50="F-SMRA","A",IF('R9'!D50="F-SMRB","B",IF('R9'!D50="F-SMRC","C","D")))</f>
        <v>D</v>
      </c>
    </row>
    <row r="233" spans="1:12" x14ac:dyDescent="0.2">
      <c r="A233" s="257">
        <f t="shared" si="47"/>
        <v>0</v>
      </c>
      <c r="B233" s="4">
        <f t="shared" si="53"/>
        <v>0</v>
      </c>
      <c r="C233" s="70">
        <f t="shared" si="48"/>
        <v>0</v>
      </c>
      <c r="D233" s="4">
        <f t="shared" si="54"/>
        <v>0</v>
      </c>
      <c r="E233" s="70">
        <f t="shared" si="49"/>
        <v>0</v>
      </c>
      <c r="F233" s="4">
        <f t="shared" si="55"/>
        <v>0</v>
      </c>
      <c r="G233" s="70">
        <f t="shared" si="50"/>
        <v>0</v>
      </c>
      <c r="H233" s="4">
        <f t="shared" si="56"/>
        <v>0</v>
      </c>
      <c r="I233" s="70">
        <f t="shared" si="51"/>
        <v>0</v>
      </c>
      <c r="J233" s="4">
        <f t="shared" si="57"/>
        <v>0</v>
      </c>
      <c r="K233" s="70">
        <f t="shared" si="52"/>
        <v>0</v>
      </c>
      <c r="L233" s="1" t="str">
        <f>IF('R9'!D51="F-SMRA","A",IF('R9'!D51="F-SMRB","B",IF('R9'!D51="F-SMRC","C","D")))</f>
        <v>D</v>
      </c>
    </row>
    <row r="234" spans="1:12" x14ac:dyDescent="0.2">
      <c r="A234" s="257">
        <f t="shared" si="47"/>
        <v>0</v>
      </c>
      <c r="B234" s="4">
        <f t="shared" si="53"/>
        <v>0</v>
      </c>
      <c r="C234" s="70">
        <f t="shared" si="48"/>
        <v>0</v>
      </c>
      <c r="D234" s="4">
        <f t="shared" si="54"/>
        <v>0</v>
      </c>
      <c r="E234" s="70">
        <f t="shared" si="49"/>
        <v>0</v>
      </c>
      <c r="F234" s="4">
        <f t="shared" si="55"/>
        <v>0</v>
      </c>
      <c r="G234" s="70">
        <f t="shared" si="50"/>
        <v>0</v>
      </c>
      <c r="H234" s="4">
        <f t="shared" si="56"/>
        <v>0</v>
      </c>
      <c r="I234" s="70">
        <f t="shared" si="51"/>
        <v>0</v>
      </c>
      <c r="J234" s="4">
        <f t="shared" si="57"/>
        <v>0</v>
      </c>
      <c r="K234" s="70">
        <f t="shared" si="52"/>
        <v>0</v>
      </c>
      <c r="L234" s="1" t="str">
        <f>IF('R9'!D52="F-SMRA","A",IF('R9'!D52="F-SMRB","B",IF('R9'!D52="F-SMRC","C","D")))</f>
        <v>D</v>
      </c>
    </row>
    <row r="235" spans="1:12" x14ac:dyDescent="0.2">
      <c r="A235" s="257">
        <f t="shared" si="47"/>
        <v>0</v>
      </c>
      <c r="B235" s="4">
        <f t="shared" si="53"/>
        <v>0</v>
      </c>
      <c r="C235" s="70">
        <f t="shared" si="48"/>
        <v>0</v>
      </c>
      <c r="D235" s="4">
        <f t="shared" si="54"/>
        <v>0</v>
      </c>
      <c r="E235" s="70">
        <f t="shared" si="49"/>
        <v>0</v>
      </c>
      <c r="F235" s="4">
        <f t="shared" si="55"/>
        <v>0</v>
      </c>
      <c r="G235" s="70">
        <f t="shared" si="50"/>
        <v>0</v>
      </c>
      <c r="H235" s="4">
        <f t="shared" si="56"/>
        <v>0</v>
      </c>
      <c r="I235" s="70">
        <f t="shared" si="51"/>
        <v>0</v>
      </c>
      <c r="J235" s="4">
        <f t="shared" si="57"/>
        <v>0</v>
      </c>
      <c r="K235" s="70">
        <f t="shared" si="52"/>
        <v>0</v>
      </c>
      <c r="L235" s="1" t="str">
        <f>IF('R9'!D53="F-SMRA","A",IF('R9'!D53="F-SMRB","B",IF('R9'!D53="F-SMRC","C","D")))</f>
        <v>D</v>
      </c>
    </row>
    <row r="236" spans="1:12" x14ac:dyDescent="0.2">
      <c r="A236" s="257">
        <f t="shared" si="47"/>
        <v>0</v>
      </c>
      <c r="B236" s="4">
        <f t="shared" si="53"/>
        <v>0</v>
      </c>
      <c r="C236" s="70">
        <f t="shared" si="48"/>
        <v>0</v>
      </c>
      <c r="D236" s="4">
        <f t="shared" si="54"/>
        <v>0</v>
      </c>
      <c r="E236" s="70">
        <f t="shared" si="49"/>
        <v>0</v>
      </c>
      <c r="F236" s="4">
        <f t="shared" si="55"/>
        <v>0</v>
      </c>
      <c r="G236" s="70">
        <f t="shared" si="50"/>
        <v>0</v>
      </c>
      <c r="H236" s="4">
        <f t="shared" si="56"/>
        <v>0</v>
      </c>
      <c r="I236" s="70">
        <f t="shared" si="51"/>
        <v>0</v>
      </c>
      <c r="J236" s="4">
        <f t="shared" si="57"/>
        <v>0</v>
      </c>
      <c r="K236" s="70">
        <f t="shared" si="52"/>
        <v>0</v>
      </c>
      <c r="L236" s="1" t="str">
        <f>IF('R9'!D54="F-SMRA","A",IF('R9'!D54="F-SMRB","B",IF('R9'!D54="F-SMRC","C","D")))</f>
        <v>D</v>
      </c>
    </row>
    <row r="237" spans="1:12" x14ac:dyDescent="0.2">
      <c r="A237" s="257">
        <f t="shared" si="47"/>
        <v>0</v>
      </c>
      <c r="B237" s="4">
        <f t="shared" si="53"/>
        <v>0</v>
      </c>
      <c r="C237" s="70">
        <f t="shared" si="48"/>
        <v>0</v>
      </c>
      <c r="D237" s="4">
        <f t="shared" si="54"/>
        <v>0</v>
      </c>
      <c r="E237" s="70">
        <f t="shared" si="49"/>
        <v>0</v>
      </c>
      <c r="F237" s="4">
        <f t="shared" si="55"/>
        <v>0</v>
      </c>
      <c r="G237" s="70">
        <f t="shared" si="50"/>
        <v>0</v>
      </c>
      <c r="H237" s="4">
        <f t="shared" si="56"/>
        <v>0</v>
      </c>
      <c r="I237" s="70">
        <f t="shared" si="51"/>
        <v>0</v>
      </c>
      <c r="J237" s="4">
        <f t="shared" si="57"/>
        <v>0</v>
      </c>
      <c r="K237" s="70">
        <f t="shared" si="52"/>
        <v>0</v>
      </c>
      <c r="L237" s="1" t="str">
        <f>IF('R9'!D55="F-SMRA","A",IF('R9'!D55="F-SMRB","B",IF('R9'!D55="F-SMRC","C","D")))</f>
        <v>D</v>
      </c>
    </row>
    <row r="238" spans="1:12" x14ac:dyDescent="0.2">
      <c r="A238" s="257">
        <f t="shared" si="47"/>
        <v>0</v>
      </c>
      <c r="B238" s="4">
        <f t="shared" si="53"/>
        <v>0</v>
      </c>
      <c r="C238" s="70">
        <f t="shared" si="48"/>
        <v>0</v>
      </c>
      <c r="D238" s="4">
        <f t="shared" si="54"/>
        <v>0</v>
      </c>
      <c r="E238" s="70">
        <f t="shared" si="49"/>
        <v>0</v>
      </c>
      <c r="F238" s="4">
        <f t="shared" si="55"/>
        <v>0</v>
      </c>
      <c r="G238" s="70">
        <f t="shared" si="50"/>
        <v>0</v>
      </c>
      <c r="H238" s="4">
        <f t="shared" si="56"/>
        <v>0</v>
      </c>
      <c r="I238" s="70">
        <f t="shared" si="51"/>
        <v>0</v>
      </c>
      <c r="J238" s="4">
        <f t="shared" si="57"/>
        <v>0</v>
      </c>
      <c r="K238" s="70">
        <f t="shared" si="52"/>
        <v>0</v>
      </c>
      <c r="L238" s="1" t="str">
        <f>IF('R9'!D56="F-SMRA","A",IF('R9'!D56="F-SMRB","B",IF('R9'!D56="F-SMRC","C","D")))</f>
        <v>D</v>
      </c>
    </row>
    <row r="239" spans="1:12" x14ac:dyDescent="0.2">
      <c r="A239" s="257">
        <f t="shared" si="47"/>
        <v>0</v>
      </c>
      <c r="B239" s="4">
        <f t="shared" si="53"/>
        <v>0</v>
      </c>
      <c r="C239" s="70">
        <f t="shared" si="48"/>
        <v>0</v>
      </c>
      <c r="D239" s="4">
        <f t="shared" si="54"/>
        <v>0</v>
      </c>
      <c r="E239" s="70">
        <f t="shared" si="49"/>
        <v>0</v>
      </c>
      <c r="F239" s="4">
        <f t="shared" si="55"/>
        <v>0</v>
      </c>
      <c r="G239" s="70">
        <f t="shared" si="50"/>
        <v>0</v>
      </c>
      <c r="H239" s="4">
        <f t="shared" si="56"/>
        <v>0</v>
      </c>
      <c r="I239" s="70">
        <f t="shared" si="51"/>
        <v>0</v>
      </c>
      <c r="J239" s="4">
        <f t="shared" si="57"/>
        <v>0</v>
      </c>
      <c r="K239" s="70">
        <f t="shared" si="52"/>
        <v>0</v>
      </c>
      <c r="L239" s="1" t="str">
        <f>IF('R9'!D57="F-SMRA","A",IF('R9'!D57="F-SMRB","B",IF('R9'!D57="F-SMRC","C","D")))</f>
        <v>D</v>
      </c>
    </row>
    <row r="240" spans="1:12" x14ac:dyDescent="0.2">
      <c r="A240" s="257">
        <f t="shared" si="47"/>
        <v>0</v>
      </c>
      <c r="B240" s="4">
        <f t="shared" si="53"/>
        <v>0</v>
      </c>
      <c r="C240" s="70">
        <f t="shared" si="48"/>
        <v>0</v>
      </c>
      <c r="D240" s="4">
        <f t="shared" si="54"/>
        <v>0</v>
      </c>
      <c r="E240" s="70">
        <f t="shared" si="49"/>
        <v>0</v>
      </c>
      <c r="F240" s="4">
        <f t="shared" si="55"/>
        <v>0</v>
      </c>
      <c r="G240" s="70">
        <f t="shared" si="50"/>
        <v>0</v>
      </c>
      <c r="H240" s="4">
        <f t="shared" si="56"/>
        <v>0</v>
      </c>
      <c r="I240" s="70">
        <f t="shared" si="51"/>
        <v>0</v>
      </c>
      <c r="J240" s="4">
        <f t="shared" si="57"/>
        <v>0</v>
      </c>
      <c r="K240" s="70">
        <f t="shared" si="52"/>
        <v>0</v>
      </c>
      <c r="L240" s="1" t="str">
        <f>IF('R9'!D58="F-SMRA","A",IF('R9'!D58="F-SMRB","B",IF('R9'!D58="F-SMRC","C","D")))</f>
        <v>D</v>
      </c>
    </row>
    <row r="241" spans="1:12" x14ac:dyDescent="0.2">
      <c r="A241" s="77">
        <f t="shared" si="47"/>
        <v>0</v>
      </c>
      <c r="B241" s="4">
        <f t="shared" si="53"/>
        <v>0</v>
      </c>
      <c r="C241" s="70">
        <f t="shared" si="48"/>
        <v>0</v>
      </c>
      <c r="D241" s="4">
        <f t="shared" si="54"/>
        <v>0</v>
      </c>
      <c r="E241" s="70">
        <f t="shared" si="49"/>
        <v>0</v>
      </c>
      <c r="F241" s="4">
        <f t="shared" si="55"/>
        <v>0</v>
      </c>
      <c r="G241" s="70">
        <f t="shared" si="50"/>
        <v>0</v>
      </c>
      <c r="H241" s="4">
        <f t="shared" si="56"/>
        <v>0</v>
      </c>
      <c r="I241" s="70">
        <f t="shared" si="51"/>
        <v>0</v>
      </c>
      <c r="J241" s="4">
        <f t="shared" si="57"/>
        <v>0</v>
      </c>
      <c r="K241" s="70">
        <f t="shared" si="52"/>
        <v>0</v>
      </c>
      <c r="L241" s="1" t="str">
        <f>IF('R9'!D59="F-SMRA","A",IF('R9'!D59="F-SMRB","B",IF('R9'!D59="F-SMRC","C","D")))</f>
        <v>D</v>
      </c>
    </row>
    <row r="245" spans="1:12" x14ac:dyDescent="0.2">
      <c r="E245" s="78"/>
      <c r="F245" s="17"/>
      <c r="G245" s="17"/>
      <c r="H245" s="17"/>
      <c r="I245" s="17"/>
    </row>
    <row r="246" spans="1:12" x14ac:dyDescent="0.2">
      <c r="A246" s="80" t="s">
        <v>129</v>
      </c>
      <c r="B246" s="301" t="s">
        <v>9</v>
      </c>
      <c r="C246" s="301"/>
      <c r="D246" s="301" t="s">
        <v>10</v>
      </c>
      <c r="E246" s="301"/>
      <c r="F246" s="301" t="s">
        <v>11</v>
      </c>
      <c r="G246" s="301"/>
      <c r="H246" s="301" t="s">
        <v>24</v>
      </c>
      <c r="I246" s="301"/>
      <c r="J246" s="301" t="s">
        <v>12</v>
      </c>
      <c r="K246" s="301"/>
    </row>
    <row r="247" spans="1:12" x14ac:dyDescent="0.2">
      <c r="A247" s="80"/>
      <c r="B247" s="83">
        <f t="shared" ref="B247:K247" si="58">B56</f>
        <v>0.17299999999999999</v>
      </c>
      <c r="C247" s="83">
        <f t="shared" si="58"/>
        <v>0.17799999999999999</v>
      </c>
      <c r="D247" s="83">
        <f t="shared" si="58"/>
        <v>0.17799999999999999</v>
      </c>
      <c r="E247" s="83">
        <f t="shared" si="58"/>
        <v>0.183</v>
      </c>
      <c r="F247" s="83">
        <f t="shared" si="58"/>
        <v>0.183</v>
      </c>
      <c r="G247" s="83">
        <f t="shared" si="58"/>
        <v>0.188</v>
      </c>
      <c r="H247" s="83">
        <f t="shared" si="58"/>
        <v>0.188</v>
      </c>
      <c r="I247" s="83">
        <f t="shared" si="58"/>
        <v>0.19400000000000001</v>
      </c>
      <c r="J247" s="83">
        <f t="shared" si="58"/>
        <v>0.19400000000000001</v>
      </c>
      <c r="K247" s="83">
        <f t="shared" si="58"/>
        <v>0.2</v>
      </c>
    </row>
    <row r="248" spans="1:12" x14ac:dyDescent="0.2">
      <c r="A248" s="75">
        <f>A218</f>
        <v>0</v>
      </c>
      <c r="B248" s="4">
        <f>B218</f>
        <v>0</v>
      </c>
      <c r="C248" s="4">
        <f t="shared" ref="C248:K248" si="59">C218</f>
        <v>0</v>
      </c>
      <c r="D248" s="4">
        <f t="shared" si="59"/>
        <v>0</v>
      </c>
      <c r="E248" s="4">
        <f t="shared" si="59"/>
        <v>0</v>
      </c>
      <c r="F248" s="4">
        <f t="shared" si="59"/>
        <v>0</v>
      </c>
      <c r="G248" s="4">
        <f t="shared" si="59"/>
        <v>0</v>
      </c>
      <c r="H248" s="4">
        <f t="shared" si="59"/>
        <v>0</v>
      </c>
      <c r="I248" s="4">
        <f t="shared" si="59"/>
        <v>0</v>
      </c>
      <c r="J248" s="4">
        <f t="shared" si="59"/>
        <v>0</v>
      </c>
      <c r="K248" s="4">
        <f t="shared" si="59"/>
        <v>0</v>
      </c>
    </row>
    <row r="249" spans="1:12" x14ac:dyDescent="0.2">
      <c r="A249" s="75">
        <f t="shared" ref="A249:K264" si="60">A219</f>
        <v>0</v>
      </c>
      <c r="B249" s="4">
        <f t="shared" si="60"/>
        <v>0</v>
      </c>
      <c r="C249" s="4">
        <f t="shared" si="60"/>
        <v>0</v>
      </c>
      <c r="D249" s="4">
        <f t="shared" si="60"/>
        <v>0</v>
      </c>
      <c r="E249" s="4">
        <f t="shared" si="60"/>
        <v>0</v>
      </c>
      <c r="F249" s="4">
        <f t="shared" si="60"/>
        <v>0</v>
      </c>
      <c r="G249" s="4">
        <f t="shared" si="60"/>
        <v>0</v>
      </c>
      <c r="H249" s="4">
        <f t="shared" si="60"/>
        <v>0</v>
      </c>
      <c r="I249" s="4">
        <f t="shared" si="60"/>
        <v>0</v>
      </c>
      <c r="J249" s="4">
        <f t="shared" si="60"/>
        <v>0</v>
      </c>
      <c r="K249" s="4">
        <f t="shared" si="60"/>
        <v>0</v>
      </c>
    </row>
    <row r="250" spans="1:12" x14ac:dyDescent="0.2">
      <c r="A250" s="75">
        <f t="shared" si="60"/>
        <v>0</v>
      </c>
      <c r="B250" s="4">
        <f t="shared" si="60"/>
        <v>0</v>
      </c>
      <c r="C250" s="4">
        <f t="shared" si="60"/>
        <v>0</v>
      </c>
      <c r="D250" s="4">
        <f t="shared" si="60"/>
        <v>0</v>
      </c>
      <c r="E250" s="4">
        <f t="shared" si="60"/>
        <v>0</v>
      </c>
      <c r="F250" s="4">
        <f t="shared" si="60"/>
        <v>0</v>
      </c>
      <c r="G250" s="4">
        <f t="shared" si="60"/>
        <v>0</v>
      </c>
      <c r="H250" s="4">
        <f t="shared" si="60"/>
        <v>0</v>
      </c>
      <c r="I250" s="4">
        <f t="shared" si="60"/>
        <v>0</v>
      </c>
      <c r="J250" s="4">
        <f t="shared" si="60"/>
        <v>0</v>
      </c>
      <c r="K250" s="4">
        <f t="shared" si="60"/>
        <v>0</v>
      </c>
    </row>
    <row r="251" spans="1:12" x14ac:dyDescent="0.2">
      <c r="A251" s="75">
        <f t="shared" si="60"/>
        <v>0</v>
      </c>
      <c r="B251" s="4">
        <f t="shared" si="60"/>
        <v>0</v>
      </c>
      <c r="C251" s="4">
        <f t="shared" si="60"/>
        <v>0</v>
      </c>
      <c r="D251" s="4">
        <f t="shared" si="60"/>
        <v>0</v>
      </c>
      <c r="E251" s="4">
        <f t="shared" si="60"/>
        <v>0</v>
      </c>
      <c r="F251" s="4">
        <f t="shared" si="60"/>
        <v>0</v>
      </c>
      <c r="G251" s="4">
        <f t="shared" si="60"/>
        <v>0</v>
      </c>
      <c r="H251" s="4">
        <f t="shared" si="60"/>
        <v>0</v>
      </c>
      <c r="I251" s="4">
        <f t="shared" si="60"/>
        <v>0</v>
      </c>
      <c r="J251" s="4">
        <f t="shared" si="60"/>
        <v>0</v>
      </c>
      <c r="K251" s="4">
        <f t="shared" si="60"/>
        <v>0</v>
      </c>
    </row>
    <row r="252" spans="1:12" x14ac:dyDescent="0.2">
      <c r="A252" s="75">
        <f t="shared" si="60"/>
        <v>0</v>
      </c>
      <c r="B252" s="4">
        <f t="shared" si="60"/>
        <v>0</v>
      </c>
      <c r="C252" s="4">
        <f t="shared" si="60"/>
        <v>0</v>
      </c>
      <c r="D252" s="4">
        <f t="shared" si="60"/>
        <v>0</v>
      </c>
      <c r="E252" s="4">
        <f t="shared" si="60"/>
        <v>0</v>
      </c>
      <c r="F252" s="4">
        <f t="shared" si="60"/>
        <v>0</v>
      </c>
      <c r="G252" s="4">
        <f t="shared" si="60"/>
        <v>0</v>
      </c>
      <c r="H252" s="4">
        <f t="shared" si="60"/>
        <v>0</v>
      </c>
      <c r="I252" s="4">
        <f t="shared" si="60"/>
        <v>0</v>
      </c>
      <c r="J252" s="4">
        <f t="shared" si="60"/>
        <v>0</v>
      </c>
      <c r="K252" s="4">
        <f t="shared" si="60"/>
        <v>0</v>
      </c>
    </row>
    <row r="253" spans="1:12" x14ac:dyDescent="0.2">
      <c r="A253" s="75">
        <f t="shared" si="60"/>
        <v>0</v>
      </c>
      <c r="B253" s="4">
        <f t="shared" si="60"/>
        <v>0</v>
      </c>
      <c r="C253" s="4">
        <f t="shared" si="60"/>
        <v>0</v>
      </c>
      <c r="D253" s="4">
        <f t="shared" si="60"/>
        <v>0</v>
      </c>
      <c r="E253" s="4">
        <f t="shared" si="60"/>
        <v>0</v>
      </c>
      <c r="F253" s="4">
        <f t="shared" si="60"/>
        <v>0</v>
      </c>
      <c r="G253" s="4">
        <f t="shared" si="60"/>
        <v>0</v>
      </c>
      <c r="H253" s="4">
        <f t="shared" si="60"/>
        <v>0</v>
      </c>
      <c r="I253" s="4">
        <f t="shared" si="60"/>
        <v>0</v>
      </c>
      <c r="J253" s="4">
        <f t="shared" si="60"/>
        <v>0</v>
      </c>
      <c r="K253" s="4">
        <f t="shared" si="60"/>
        <v>0</v>
      </c>
    </row>
    <row r="254" spans="1:12" x14ac:dyDescent="0.2">
      <c r="A254" s="75">
        <f t="shared" si="60"/>
        <v>0</v>
      </c>
      <c r="B254" s="4">
        <f t="shared" si="60"/>
        <v>0</v>
      </c>
      <c r="C254" s="4">
        <f t="shared" si="60"/>
        <v>0</v>
      </c>
      <c r="D254" s="4">
        <f t="shared" si="60"/>
        <v>0</v>
      </c>
      <c r="E254" s="4">
        <f t="shared" si="60"/>
        <v>0</v>
      </c>
      <c r="F254" s="4">
        <f t="shared" si="60"/>
        <v>0</v>
      </c>
      <c r="G254" s="4">
        <f t="shared" si="60"/>
        <v>0</v>
      </c>
      <c r="H254" s="4">
        <f t="shared" si="60"/>
        <v>0</v>
      </c>
      <c r="I254" s="4">
        <f t="shared" si="60"/>
        <v>0</v>
      </c>
      <c r="J254" s="4">
        <f t="shared" si="60"/>
        <v>0</v>
      </c>
      <c r="K254" s="4">
        <f t="shared" si="60"/>
        <v>0</v>
      </c>
    </row>
    <row r="255" spans="1:12" x14ac:dyDescent="0.2">
      <c r="A255" s="75">
        <f t="shared" si="60"/>
        <v>0</v>
      </c>
      <c r="B255" s="4">
        <f t="shared" si="60"/>
        <v>0</v>
      </c>
      <c r="C255" s="4">
        <f t="shared" si="60"/>
        <v>0</v>
      </c>
      <c r="D255" s="4">
        <f t="shared" si="60"/>
        <v>0</v>
      </c>
      <c r="E255" s="4">
        <f t="shared" si="60"/>
        <v>0</v>
      </c>
      <c r="F255" s="4">
        <f t="shared" si="60"/>
        <v>0</v>
      </c>
      <c r="G255" s="4">
        <f t="shared" si="60"/>
        <v>0</v>
      </c>
      <c r="H255" s="4">
        <f t="shared" si="60"/>
        <v>0</v>
      </c>
      <c r="I255" s="4">
        <f t="shared" si="60"/>
        <v>0</v>
      </c>
      <c r="J255" s="4">
        <f t="shared" si="60"/>
        <v>0</v>
      </c>
      <c r="K255" s="4">
        <f t="shared" si="60"/>
        <v>0</v>
      </c>
    </row>
    <row r="256" spans="1:12" x14ac:dyDescent="0.2">
      <c r="A256" s="75">
        <f t="shared" si="60"/>
        <v>0</v>
      </c>
      <c r="B256" s="4">
        <f t="shared" si="60"/>
        <v>0</v>
      </c>
      <c r="C256" s="4">
        <f t="shared" si="60"/>
        <v>0</v>
      </c>
      <c r="D256" s="4">
        <f t="shared" si="60"/>
        <v>0</v>
      </c>
      <c r="E256" s="4">
        <f t="shared" si="60"/>
        <v>0</v>
      </c>
      <c r="F256" s="4">
        <f t="shared" si="60"/>
        <v>0</v>
      </c>
      <c r="G256" s="4">
        <f t="shared" si="60"/>
        <v>0</v>
      </c>
      <c r="H256" s="4">
        <f t="shared" si="60"/>
        <v>0</v>
      </c>
      <c r="I256" s="4">
        <f t="shared" si="60"/>
        <v>0</v>
      </c>
      <c r="J256" s="4">
        <f t="shared" si="60"/>
        <v>0</v>
      </c>
      <c r="K256" s="4">
        <f t="shared" si="60"/>
        <v>0</v>
      </c>
    </row>
    <row r="257" spans="1:11" x14ac:dyDescent="0.2">
      <c r="A257" s="75">
        <f t="shared" si="60"/>
        <v>0</v>
      </c>
      <c r="B257" s="4">
        <f t="shared" si="60"/>
        <v>0</v>
      </c>
      <c r="C257" s="4">
        <f t="shared" si="60"/>
        <v>0</v>
      </c>
      <c r="D257" s="4">
        <f t="shared" si="60"/>
        <v>0</v>
      </c>
      <c r="E257" s="4">
        <f t="shared" si="60"/>
        <v>0</v>
      </c>
      <c r="F257" s="4">
        <f t="shared" si="60"/>
        <v>0</v>
      </c>
      <c r="G257" s="4">
        <f t="shared" si="60"/>
        <v>0</v>
      </c>
      <c r="H257" s="4">
        <f t="shared" si="60"/>
        <v>0</v>
      </c>
      <c r="I257" s="4">
        <f t="shared" si="60"/>
        <v>0</v>
      </c>
      <c r="J257" s="4">
        <f t="shared" si="60"/>
        <v>0</v>
      </c>
      <c r="K257" s="4">
        <f t="shared" si="60"/>
        <v>0</v>
      </c>
    </row>
    <row r="258" spans="1:11" x14ac:dyDescent="0.2">
      <c r="A258" s="75">
        <f t="shared" si="60"/>
        <v>0</v>
      </c>
      <c r="B258" s="4">
        <f t="shared" si="60"/>
        <v>0</v>
      </c>
      <c r="C258" s="4">
        <f t="shared" si="60"/>
        <v>0</v>
      </c>
      <c r="D258" s="4">
        <f t="shared" si="60"/>
        <v>0</v>
      </c>
      <c r="E258" s="4">
        <f t="shared" si="60"/>
        <v>0</v>
      </c>
      <c r="F258" s="4">
        <f t="shared" si="60"/>
        <v>0</v>
      </c>
      <c r="G258" s="4">
        <f t="shared" si="60"/>
        <v>0</v>
      </c>
      <c r="H258" s="4">
        <f t="shared" si="60"/>
        <v>0</v>
      </c>
      <c r="I258" s="4">
        <f t="shared" si="60"/>
        <v>0</v>
      </c>
      <c r="J258" s="4">
        <f t="shared" si="60"/>
        <v>0</v>
      </c>
      <c r="K258" s="4">
        <f t="shared" si="60"/>
        <v>0</v>
      </c>
    </row>
    <row r="259" spans="1:11" x14ac:dyDescent="0.2">
      <c r="A259" s="75">
        <f t="shared" si="60"/>
        <v>0</v>
      </c>
      <c r="B259" s="4">
        <f t="shared" si="60"/>
        <v>0</v>
      </c>
      <c r="C259" s="4">
        <f t="shared" si="60"/>
        <v>0</v>
      </c>
      <c r="D259" s="4">
        <f t="shared" si="60"/>
        <v>0</v>
      </c>
      <c r="E259" s="4">
        <f t="shared" si="60"/>
        <v>0</v>
      </c>
      <c r="F259" s="4">
        <f t="shared" si="60"/>
        <v>0</v>
      </c>
      <c r="G259" s="4">
        <f t="shared" si="60"/>
        <v>0</v>
      </c>
      <c r="H259" s="4">
        <f t="shared" si="60"/>
        <v>0</v>
      </c>
      <c r="I259" s="4">
        <f t="shared" si="60"/>
        <v>0</v>
      </c>
      <c r="J259" s="4">
        <f t="shared" si="60"/>
        <v>0</v>
      </c>
      <c r="K259" s="4">
        <f t="shared" si="60"/>
        <v>0</v>
      </c>
    </row>
    <row r="260" spans="1:11" x14ac:dyDescent="0.2">
      <c r="A260" s="75">
        <f t="shared" si="60"/>
        <v>0</v>
      </c>
      <c r="B260" s="4">
        <f t="shared" si="60"/>
        <v>0</v>
      </c>
      <c r="C260" s="4">
        <f t="shared" si="60"/>
        <v>0</v>
      </c>
      <c r="D260" s="4">
        <f t="shared" si="60"/>
        <v>0</v>
      </c>
      <c r="E260" s="4">
        <f t="shared" si="60"/>
        <v>0</v>
      </c>
      <c r="F260" s="4">
        <f t="shared" si="60"/>
        <v>0</v>
      </c>
      <c r="G260" s="4">
        <f t="shared" si="60"/>
        <v>0</v>
      </c>
      <c r="H260" s="4">
        <f t="shared" si="60"/>
        <v>0</v>
      </c>
      <c r="I260" s="4">
        <f t="shared" si="60"/>
        <v>0</v>
      </c>
      <c r="J260" s="4">
        <f t="shared" si="60"/>
        <v>0</v>
      </c>
      <c r="K260" s="4">
        <f t="shared" si="60"/>
        <v>0</v>
      </c>
    </row>
    <row r="261" spans="1:11" x14ac:dyDescent="0.2">
      <c r="A261" s="75">
        <f t="shared" si="60"/>
        <v>0</v>
      </c>
      <c r="B261" s="4">
        <f t="shared" si="60"/>
        <v>0</v>
      </c>
      <c r="C261" s="4">
        <f t="shared" si="60"/>
        <v>0</v>
      </c>
      <c r="D261" s="4">
        <f t="shared" si="60"/>
        <v>0</v>
      </c>
      <c r="E261" s="4">
        <f t="shared" si="60"/>
        <v>0</v>
      </c>
      <c r="F261" s="4">
        <f t="shared" si="60"/>
        <v>0</v>
      </c>
      <c r="G261" s="4">
        <f t="shared" si="60"/>
        <v>0</v>
      </c>
      <c r="H261" s="4">
        <f t="shared" si="60"/>
        <v>0</v>
      </c>
      <c r="I261" s="4">
        <f t="shared" si="60"/>
        <v>0</v>
      </c>
      <c r="J261" s="4">
        <f t="shared" si="60"/>
        <v>0</v>
      </c>
      <c r="K261" s="4">
        <f t="shared" si="60"/>
        <v>0</v>
      </c>
    </row>
    <row r="262" spans="1:11" x14ac:dyDescent="0.2">
      <c r="A262" s="75">
        <f t="shared" si="60"/>
        <v>0</v>
      </c>
      <c r="B262" s="4">
        <f t="shared" si="60"/>
        <v>0</v>
      </c>
      <c r="C262" s="4">
        <f t="shared" si="60"/>
        <v>0</v>
      </c>
      <c r="D262" s="4">
        <f t="shared" si="60"/>
        <v>0</v>
      </c>
      <c r="E262" s="4">
        <f t="shared" si="60"/>
        <v>0</v>
      </c>
      <c r="F262" s="4">
        <f t="shared" si="60"/>
        <v>0</v>
      </c>
      <c r="G262" s="4">
        <f t="shared" si="60"/>
        <v>0</v>
      </c>
      <c r="H262" s="4">
        <f t="shared" si="60"/>
        <v>0</v>
      </c>
      <c r="I262" s="4">
        <f t="shared" si="60"/>
        <v>0</v>
      </c>
      <c r="J262" s="4">
        <f t="shared" si="60"/>
        <v>0</v>
      </c>
      <c r="K262" s="4">
        <f t="shared" si="60"/>
        <v>0</v>
      </c>
    </row>
    <row r="263" spans="1:11" x14ac:dyDescent="0.2">
      <c r="A263" s="75">
        <f t="shared" si="60"/>
        <v>0</v>
      </c>
      <c r="B263" s="4">
        <f t="shared" si="60"/>
        <v>0</v>
      </c>
      <c r="C263" s="4">
        <f t="shared" si="60"/>
        <v>0</v>
      </c>
      <c r="D263" s="4">
        <f t="shared" si="60"/>
        <v>0</v>
      </c>
      <c r="E263" s="4">
        <f t="shared" si="60"/>
        <v>0</v>
      </c>
      <c r="F263" s="4">
        <f t="shared" si="60"/>
        <v>0</v>
      </c>
      <c r="G263" s="4">
        <f t="shared" si="60"/>
        <v>0</v>
      </c>
      <c r="H263" s="4">
        <f t="shared" si="60"/>
        <v>0</v>
      </c>
      <c r="I263" s="4">
        <f t="shared" si="60"/>
        <v>0</v>
      </c>
      <c r="J263" s="4">
        <f t="shared" si="60"/>
        <v>0</v>
      </c>
      <c r="K263" s="4">
        <f t="shared" si="60"/>
        <v>0</v>
      </c>
    </row>
    <row r="264" spans="1:11" x14ac:dyDescent="0.2">
      <c r="A264" s="75">
        <f t="shared" si="60"/>
        <v>0</v>
      </c>
      <c r="B264" s="4">
        <f t="shared" si="60"/>
        <v>0</v>
      </c>
      <c r="C264" s="4">
        <f t="shared" si="60"/>
        <v>0</v>
      </c>
      <c r="D264" s="4">
        <f t="shared" si="60"/>
        <v>0</v>
      </c>
      <c r="E264" s="4">
        <f t="shared" si="60"/>
        <v>0</v>
      </c>
      <c r="F264" s="4">
        <f t="shared" si="60"/>
        <v>0</v>
      </c>
      <c r="G264" s="4">
        <f t="shared" si="60"/>
        <v>0</v>
      </c>
      <c r="H264" s="4">
        <f t="shared" si="60"/>
        <v>0</v>
      </c>
      <c r="I264" s="4">
        <f t="shared" si="60"/>
        <v>0</v>
      </c>
      <c r="J264" s="4">
        <f t="shared" si="60"/>
        <v>0</v>
      </c>
      <c r="K264" s="4">
        <f t="shared" si="60"/>
        <v>0</v>
      </c>
    </row>
    <row r="265" spans="1:11" x14ac:dyDescent="0.2">
      <c r="A265" s="75">
        <f t="shared" ref="A265:K271" si="61">A235</f>
        <v>0</v>
      </c>
      <c r="B265" s="4">
        <f t="shared" si="61"/>
        <v>0</v>
      </c>
      <c r="C265" s="4">
        <f t="shared" si="61"/>
        <v>0</v>
      </c>
      <c r="D265" s="4">
        <f t="shared" si="61"/>
        <v>0</v>
      </c>
      <c r="E265" s="4">
        <f t="shared" si="61"/>
        <v>0</v>
      </c>
      <c r="F265" s="4">
        <f t="shared" si="61"/>
        <v>0</v>
      </c>
      <c r="G265" s="4">
        <f t="shared" si="61"/>
        <v>0</v>
      </c>
      <c r="H265" s="4">
        <f t="shared" si="61"/>
        <v>0</v>
      </c>
      <c r="I265" s="4">
        <f t="shared" si="61"/>
        <v>0</v>
      </c>
      <c r="J265" s="4">
        <f t="shared" si="61"/>
        <v>0</v>
      </c>
      <c r="K265" s="4">
        <f t="shared" si="61"/>
        <v>0</v>
      </c>
    </row>
    <row r="266" spans="1:11" x14ac:dyDescent="0.2">
      <c r="A266" s="75">
        <f t="shared" si="61"/>
        <v>0</v>
      </c>
      <c r="B266" s="4">
        <f t="shared" si="61"/>
        <v>0</v>
      </c>
      <c r="C266" s="4">
        <f t="shared" si="61"/>
        <v>0</v>
      </c>
      <c r="D266" s="4">
        <f t="shared" si="61"/>
        <v>0</v>
      </c>
      <c r="E266" s="4">
        <f t="shared" si="61"/>
        <v>0</v>
      </c>
      <c r="F266" s="4">
        <f t="shared" si="61"/>
        <v>0</v>
      </c>
      <c r="G266" s="4">
        <f t="shared" si="61"/>
        <v>0</v>
      </c>
      <c r="H266" s="4">
        <f t="shared" si="61"/>
        <v>0</v>
      </c>
      <c r="I266" s="4">
        <f t="shared" si="61"/>
        <v>0</v>
      </c>
      <c r="J266" s="4">
        <f t="shared" si="61"/>
        <v>0</v>
      </c>
      <c r="K266" s="4">
        <f t="shared" si="61"/>
        <v>0</v>
      </c>
    </row>
    <row r="267" spans="1:11" x14ac:dyDescent="0.2">
      <c r="A267" s="75">
        <f t="shared" si="61"/>
        <v>0</v>
      </c>
      <c r="B267" s="4">
        <f t="shared" si="61"/>
        <v>0</v>
      </c>
      <c r="C267" s="4">
        <f t="shared" si="61"/>
        <v>0</v>
      </c>
      <c r="D267" s="4">
        <f t="shared" si="61"/>
        <v>0</v>
      </c>
      <c r="E267" s="4">
        <f t="shared" si="61"/>
        <v>0</v>
      </c>
      <c r="F267" s="4">
        <f t="shared" si="61"/>
        <v>0</v>
      </c>
      <c r="G267" s="4">
        <f t="shared" si="61"/>
        <v>0</v>
      </c>
      <c r="H267" s="4">
        <f t="shared" si="61"/>
        <v>0</v>
      </c>
      <c r="I267" s="4">
        <f t="shared" si="61"/>
        <v>0</v>
      </c>
      <c r="J267" s="4">
        <f t="shared" si="61"/>
        <v>0</v>
      </c>
      <c r="K267" s="4">
        <f t="shared" si="61"/>
        <v>0</v>
      </c>
    </row>
    <row r="268" spans="1:11" x14ac:dyDescent="0.2">
      <c r="A268" s="75">
        <f t="shared" si="61"/>
        <v>0</v>
      </c>
      <c r="B268" s="4">
        <f t="shared" si="61"/>
        <v>0</v>
      </c>
      <c r="C268" s="4">
        <f t="shared" si="61"/>
        <v>0</v>
      </c>
      <c r="D268" s="4">
        <f t="shared" si="61"/>
        <v>0</v>
      </c>
      <c r="E268" s="4">
        <f t="shared" si="61"/>
        <v>0</v>
      </c>
      <c r="F268" s="4">
        <f t="shared" si="61"/>
        <v>0</v>
      </c>
      <c r="G268" s="4">
        <f t="shared" si="61"/>
        <v>0</v>
      </c>
      <c r="H268" s="4">
        <f t="shared" si="61"/>
        <v>0</v>
      </c>
      <c r="I268" s="4">
        <f t="shared" si="61"/>
        <v>0</v>
      </c>
      <c r="J268" s="4">
        <f t="shared" si="61"/>
        <v>0</v>
      </c>
      <c r="K268" s="4">
        <f t="shared" si="61"/>
        <v>0</v>
      </c>
    </row>
    <row r="269" spans="1:11" x14ac:dyDescent="0.2">
      <c r="A269" s="75">
        <f t="shared" si="61"/>
        <v>0</v>
      </c>
      <c r="B269" s="4">
        <f t="shared" si="61"/>
        <v>0</v>
      </c>
      <c r="C269" s="4">
        <f t="shared" si="61"/>
        <v>0</v>
      </c>
      <c r="D269" s="4">
        <f t="shared" si="61"/>
        <v>0</v>
      </c>
      <c r="E269" s="4">
        <f t="shared" si="61"/>
        <v>0</v>
      </c>
      <c r="F269" s="4">
        <f t="shared" si="61"/>
        <v>0</v>
      </c>
      <c r="G269" s="4">
        <f t="shared" si="61"/>
        <v>0</v>
      </c>
      <c r="H269" s="4">
        <f t="shared" si="61"/>
        <v>0</v>
      </c>
      <c r="I269" s="4">
        <f t="shared" si="61"/>
        <v>0</v>
      </c>
      <c r="J269" s="4">
        <f t="shared" si="61"/>
        <v>0</v>
      </c>
      <c r="K269" s="4">
        <f t="shared" si="61"/>
        <v>0</v>
      </c>
    </row>
    <row r="270" spans="1:11" x14ac:dyDescent="0.2">
      <c r="A270" s="75">
        <f t="shared" si="61"/>
        <v>0</v>
      </c>
      <c r="B270" s="4">
        <f t="shared" si="61"/>
        <v>0</v>
      </c>
      <c r="C270" s="4">
        <f t="shared" si="61"/>
        <v>0</v>
      </c>
      <c r="D270" s="4">
        <f t="shared" si="61"/>
        <v>0</v>
      </c>
      <c r="E270" s="4">
        <f t="shared" si="61"/>
        <v>0</v>
      </c>
      <c r="F270" s="4">
        <f t="shared" si="61"/>
        <v>0</v>
      </c>
      <c r="G270" s="4">
        <f t="shared" si="61"/>
        <v>0</v>
      </c>
      <c r="H270" s="4">
        <f t="shared" si="61"/>
        <v>0</v>
      </c>
      <c r="I270" s="4">
        <f t="shared" si="61"/>
        <v>0</v>
      </c>
      <c r="J270" s="4">
        <f t="shared" si="61"/>
        <v>0</v>
      </c>
      <c r="K270" s="4">
        <f t="shared" si="61"/>
        <v>0</v>
      </c>
    </row>
    <row r="271" spans="1:11" x14ac:dyDescent="0.2">
      <c r="A271" s="79">
        <f t="shared" si="61"/>
        <v>0</v>
      </c>
      <c r="B271" s="4">
        <f t="shared" si="61"/>
        <v>0</v>
      </c>
      <c r="C271" s="4">
        <f t="shared" si="61"/>
        <v>0</v>
      </c>
      <c r="D271" s="4">
        <f t="shared" si="61"/>
        <v>0</v>
      </c>
      <c r="E271" s="4">
        <f t="shared" si="61"/>
        <v>0</v>
      </c>
      <c r="F271" s="4">
        <f t="shared" si="61"/>
        <v>0</v>
      </c>
      <c r="G271" s="4">
        <f t="shared" si="61"/>
        <v>0</v>
      </c>
      <c r="H271" s="4">
        <f t="shared" si="61"/>
        <v>0</v>
      </c>
      <c r="I271" s="4">
        <f t="shared" si="61"/>
        <v>0</v>
      </c>
      <c r="J271" s="4">
        <f t="shared" si="61"/>
        <v>0</v>
      </c>
      <c r="K271" s="4">
        <f t="shared" si="61"/>
        <v>0</v>
      </c>
    </row>
    <row r="272" spans="1:11" x14ac:dyDescent="0.2">
      <c r="A272" s="81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80" t="s">
        <v>130</v>
      </c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</row>
    <row r="275" spans="1:11" x14ac:dyDescent="0.2">
      <c r="A275" s="82">
        <f>A248</f>
        <v>0</v>
      </c>
      <c r="B275" s="303" t="str">
        <f>IF(B$247=C$247,B$247*100,IF(C248=0,B$247*100&amp;"/0",IF(B248=0,"0/"&amp;C$247*100,B$247*100&amp;"/"&amp;C$247*100)))</f>
        <v>17.3/0</v>
      </c>
      <c r="C275" s="304"/>
      <c r="D275" s="305" t="str">
        <f>IF(D$247=E$247,D$247*100,IF(E248=0,D$247*100&amp;"/0",IF(D248=0,"0/"&amp;E$247*100,D$247*100&amp;"/"&amp;E$247*100)))</f>
        <v>17.8/0</v>
      </c>
      <c r="E275" s="306"/>
      <c r="F275" s="305" t="str">
        <f>IF(F$247=G$247,F$247*100,IF(G248=0,F$247*100&amp;"/0",IF(F248=0,"0/"&amp;G$247*100,F$247*100&amp;"/"&amp;G$247*100)))</f>
        <v>18.3/0</v>
      </c>
      <c r="G275" s="306"/>
      <c r="H275" s="305" t="str">
        <f>IF(H$247=I$247,H$247*100,IF(I248=0,H$247*100&amp;"/0",IF(H248=0,"0/"&amp;I$247*100,H$247*100&amp;"/"&amp;I$247*100)))</f>
        <v>18.8/0</v>
      </c>
      <c r="I275" s="306"/>
      <c r="J275" s="303" t="str">
        <f>IF($G$5="","",IF(J$247=K$247,J$247*100,IF(K248=0,J$247*100&amp;"/0",IF(J248=0,"0/"&amp;K$247*100,J$247*100&amp;"/"&amp;K$247*100))))</f>
        <v>19.4/0</v>
      </c>
      <c r="K275" s="304"/>
    </row>
    <row r="276" spans="1:11" x14ac:dyDescent="0.2">
      <c r="A276" s="82">
        <f t="shared" ref="A276:A298" si="62">A249</f>
        <v>0</v>
      </c>
      <c r="B276" s="303" t="str">
        <f>IF(B$247=C$247,B$247*100,IF(C249=0,B$247*100&amp;"/0",IF(B249=0,"0/"&amp;C$247*100,B$247*100&amp;"/"&amp;C$247*100)))</f>
        <v>17.3/0</v>
      </c>
      <c r="C276" s="304"/>
      <c r="D276" s="305" t="str">
        <f t="shared" ref="D276:D298" si="63">IF(D$247=E$247,D$247*100,IF(E249=0,D$247*100&amp;"/0",IF(D249=0,"0/"&amp;E$247*100,D$247*100&amp;"/"&amp;E$247*100)))</f>
        <v>17.8/0</v>
      </c>
      <c r="E276" s="306"/>
      <c r="F276" s="305" t="str">
        <f t="shared" ref="F276:F298" si="64">IF(F$247=G$247,F$247*100,IF(G249=0,F$247*100&amp;"/0",IF(F249=0,"0/"&amp;G$247*100,F$247*100&amp;"/"&amp;G$247*100)))</f>
        <v>18.3/0</v>
      </c>
      <c r="G276" s="306"/>
      <c r="H276" s="305" t="str">
        <f t="shared" ref="H276:H298" si="65">IF(H$247=I$247,H$247*100,IF(I249=0,H$247*100&amp;"/0",IF(H249=0,"0/"&amp;I$247*100,H$247*100&amp;"/"&amp;I$247*100)))</f>
        <v>18.8/0</v>
      </c>
      <c r="I276" s="306"/>
      <c r="J276" s="303" t="str">
        <f t="shared" ref="J276:J298" si="66">IF($G$5="","",IF(J$247=K$247,J$247*100,IF(K249=0,J$247*100&amp;"/0",IF(J249=0,"0/"&amp;K$247*100,J$247*100&amp;"/"&amp;K$247*100))))</f>
        <v>19.4/0</v>
      </c>
      <c r="K276" s="304"/>
    </row>
    <row r="277" spans="1:11" x14ac:dyDescent="0.2">
      <c r="A277" s="82">
        <f t="shared" si="62"/>
        <v>0</v>
      </c>
      <c r="B277" s="303" t="str">
        <f>IF(B$247=C$247,B$247*100,IF(C250=0,B$247*100&amp;"/0",IF(B250=0,"0/"&amp;C$247*100,B$247*100&amp;"/"&amp;C$247*100)))</f>
        <v>17.3/0</v>
      </c>
      <c r="C277" s="304"/>
      <c r="D277" s="305" t="str">
        <f t="shared" si="63"/>
        <v>17.8/0</v>
      </c>
      <c r="E277" s="306"/>
      <c r="F277" s="305" t="str">
        <f t="shared" si="64"/>
        <v>18.3/0</v>
      </c>
      <c r="G277" s="306"/>
      <c r="H277" s="305" t="str">
        <f t="shared" si="65"/>
        <v>18.8/0</v>
      </c>
      <c r="I277" s="306"/>
      <c r="J277" s="303" t="str">
        <f t="shared" si="66"/>
        <v>19.4/0</v>
      </c>
      <c r="K277" s="304"/>
    </row>
    <row r="278" spans="1:11" x14ac:dyDescent="0.2">
      <c r="A278" s="82">
        <f t="shared" si="62"/>
        <v>0</v>
      </c>
      <c r="B278" s="303" t="str">
        <f>IF(B$247=C$247,B$247*100,IF(C251=0,B$247*100&amp;"/0",IF(B251=0,"0/"&amp;C$247*100,B$247*100&amp;"/"&amp;C$247*100)))</f>
        <v>17.3/0</v>
      </c>
      <c r="C278" s="304"/>
      <c r="D278" s="305" t="str">
        <f t="shared" si="63"/>
        <v>17.8/0</v>
      </c>
      <c r="E278" s="306"/>
      <c r="F278" s="305" t="str">
        <f t="shared" si="64"/>
        <v>18.3/0</v>
      </c>
      <c r="G278" s="306"/>
      <c r="H278" s="305" t="str">
        <f t="shared" si="65"/>
        <v>18.8/0</v>
      </c>
      <c r="I278" s="306"/>
      <c r="J278" s="303" t="str">
        <f t="shared" si="66"/>
        <v>19.4/0</v>
      </c>
      <c r="K278" s="304"/>
    </row>
    <row r="279" spans="1:11" x14ac:dyDescent="0.2">
      <c r="A279" s="82">
        <f t="shared" si="62"/>
        <v>0</v>
      </c>
      <c r="B279" s="303" t="str">
        <f t="shared" ref="B279:B298" si="67">IF(B$247=C$247,B$247*100,IF(C252=0,B$247*100&amp;"/0",IF(B252=0,"0/"&amp;C$247*100,B$247*100&amp;"/"&amp;C$247*100)))</f>
        <v>17.3/0</v>
      </c>
      <c r="C279" s="304"/>
      <c r="D279" s="305" t="str">
        <f t="shared" si="63"/>
        <v>17.8/0</v>
      </c>
      <c r="E279" s="306"/>
      <c r="F279" s="305" t="str">
        <f t="shared" si="64"/>
        <v>18.3/0</v>
      </c>
      <c r="G279" s="306"/>
      <c r="H279" s="305" t="str">
        <f t="shared" si="65"/>
        <v>18.8/0</v>
      </c>
      <c r="I279" s="306"/>
      <c r="J279" s="303" t="str">
        <f t="shared" si="66"/>
        <v>19.4/0</v>
      </c>
      <c r="K279" s="304"/>
    </row>
    <row r="280" spans="1:11" x14ac:dyDescent="0.2">
      <c r="A280" s="82">
        <f t="shared" si="62"/>
        <v>0</v>
      </c>
      <c r="B280" s="303" t="str">
        <f t="shared" si="67"/>
        <v>17.3/0</v>
      </c>
      <c r="C280" s="304"/>
      <c r="D280" s="305" t="str">
        <f t="shared" si="63"/>
        <v>17.8/0</v>
      </c>
      <c r="E280" s="306"/>
      <c r="F280" s="305" t="str">
        <f t="shared" si="64"/>
        <v>18.3/0</v>
      </c>
      <c r="G280" s="306"/>
      <c r="H280" s="305" t="str">
        <f t="shared" si="65"/>
        <v>18.8/0</v>
      </c>
      <c r="I280" s="306"/>
      <c r="J280" s="303" t="str">
        <f t="shared" si="66"/>
        <v>19.4/0</v>
      </c>
      <c r="K280" s="304"/>
    </row>
    <row r="281" spans="1:11" x14ac:dyDescent="0.2">
      <c r="A281" s="82">
        <f t="shared" si="62"/>
        <v>0</v>
      </c>
      <c r="B281" s="303" t="str">
        <f t="shared" si="67"/>
        <v>17.3/0</v>
      </c>
      <c r="C281" s="304"/>
      <c r="D281" s="305" t="str">
        <f t="shared" si="63"/>
        <v>17.8/0</v>
      </c>
      <c r="E281" s="306"/>
      <c r="F281" s="305" t="str">
        <f t="shared" si="64"/>
        <v>18.3/0</v>
      </c>
      <c r="G281" s="306"/>
      <c r="H281" s="305" t="str">
        <f t="shared" si="65"/>
        <v>18.8/0</v>
      </c>
      <c r="I281" s="306"/>
      <c r="J281" s="303" t="str">
        <f t="shared" si="66"/>
        <v>19.4/0</v>
      </c>
      <c r="K281" s="304"/>
    </row>
    <row r="282" spans="1:11" x14ac:dyDescent="0.2">
      <c r="A282" s="82">
        <f t="shared" si="62"/>
        <v>0</v>
      </c>
      <c r="B282" s="303" t="str">
        <f t="shared" si="67"/>
        <v>17.3/0</v>
      </c>
      <c r="C282" s="304"/>
      <c r="D282" s="305" t="str">
        <f t="shared" si="63"/>
        <v>17.8/0</v>
      </c>
      <c r="E282" s="306"/>
      <c r="F282" s="305" t="str">
        <f t="shared" si="64"/>
        <v>18.3/0</v>
      </c>
      <c r="G282" s="306"/>
      <c r="H282" s="305" t="str">
        <f t="shared" si="65"/>
        <v>18.8/0</v>
      </c>
      <c r="I282" s="306"/>
      <c r="J282" s="303" t="str">
        <f t="shared" si="66"/>
        <v>19.4/0</v>
      </c>
      <c r="K282" s="304"/>
    </row>
    <row r="283" spans="1:11" x14ac:dyDescent="0.2">
      <c r="A283" s="82">
        <f t="shared" si="62"/>
        <v>0</v>
      </c>
      <c r="B283" s="303" t="str">
        <f t="shared" si="67"/>
        <v>17.3/0</v>
      </c>
      <c r="C283" s="304"/>
      <c r="D283" s="305" t="str">
        <f t="shared" si="63"/>
        <v>17.8/0</v>
      </c>
      <c r="E283" s="306"/>
      <c r="F283" s="305" t="str">
        <f t="shared" si="64"/>
        <v>18.3/0</v>
      </c>
      <c r="G283" s="306"/>
      <c r="H283" s="305" t="str">
        <f t="shared" si="65"/>
        <v>18.8/0</v>
      </c>
      <c r="I283" s="306"/>
      <c r="J283" s="303" t="str">
        <f t="shared" si="66"/>
        <v>19.4/0</v>
      </c>
      <c r="K283" s="304"/>
    </row>
    <row r="284" spans="1:11" x14ac:dyDescent="0.2">
      <c r="A284" s="82">
        <f t="shared" si="62"/>
        <v>0</v>
      </c>
      <c r="B284" s="303" t="str">
        <f t="shared" si="67"/>
        <v>17.3/0</v>
      </c>
      <c r="C284" s="304"/>
      <c r="D284" s="305" t="str">
        <f t="shared" si="63"/>
        <v>17.8/0</v>
      </c>
      <c r="E284" s="306"/>
      <c r="F284" s="305" t="str">
        <f t="shared" si="64"/>
        <v>18.3/0</v>
      </c>
      <c r="G284" s="306"/>
      <c r="H284" s="305" t="str">
        <f t="shared" si="65"/>
        <v>18.8/0</v>
      </c>
      <c r="I284" s="306"/>
      <c r="J284" s="303" t="str">
        <f t="shared" si="66"/>
        <v>19.4/0</v>
      </c>
      <c r="K284" s="304"/>
    </row>
    <row r="285" spans="1:11" x14ac:dyDescent="0.2">
      <c r="A285" s="82">
        <f t="shared" si="62"/>
        <v>0</v>
      </c>
      <c r="B285" s="303" t="str">
        <f t="shared" si="67"/>
        <v>17.3/0</v>
      </c>
      <c r="C285" s="304"/>
      <c r="D285" s="305" t="str">
        <f t="shared" si="63"/>
        <v>17.8/0</v>
      </c>
      <c r="E285" s="306"/>
      <c r="F285" s="305" t="str">
        <f t="shared" si="64"/>
        <v>18.3/0</v>
      </c>
      <c r="G285" s="306"/>
      <c r="H285" s="305" t="str">
        <f t="shared" si="65"/>
        <v>18.8/0</v>
      </c>
      <c r="I285" s="306"/>
      <c r="J285" s="303" t="str">
        <f t="shared" si="66"/>
        <v>19.4/0</v>
      </c>
      <c r="K285" s="304"/>
    </row>
    <row r="286" spans="1:11" x14ac:dyDescent="0.2">
      <c r="A286" s="82">
        <f t="shared" si="62"/>
        <v>0</v>
      </c>
      <c r="B286" s="303" t="str">
        <f t="shared" si="67"/>
        <v>17.3/0</v>
      </c>
      <c r="C286" s="304"/>
      <c r="D286" s="305" t="str">
        <f t="shared" si="63"/>
        <v>17.8/0</v>
      </c>
      <c r="E286" s="306"/>
      <c r="F286" s="305" t="str">
        <f t="shared" si="64"/>
        <v>18.3/0</v>
      </c>
      <c r="G286" s="306"/>
      <c r="H286" s="305" t="str">
        <f t="shared" si="65"/>
        <v>18.8/0</v>
      </c>
      <c r="I286" s="306"/>
      <c r="J286" s="303" t="str">
        <f t="shared" si="66"/>
        <v>19.4/0</v>
      </c>
      <c r="K286" s="304"/>
    </row>
    <row r="287" spans="1:11" x14ac:dyDescent="0.2">
      <c r="A287" s="82">
        <f t="shared" si="62"/>
        <v>0</v>
      </c>
      <c r="B287" s="303" t="str">
        <f t="shared" si="67"/>
        <v>17.3/0</v>
      </c>
      <c r="C287" s="304"/>
      <c r="D287" s="305" t="str">
        <f t="shared" si="63"/>
        <v>17.8/0</v>
      </c>
      <c r="E287" s="306"/>
      <c r="F287" s="305" t="str">
        <f t="shared" si="64"/>
        <v>18.3/0</v>
      </c>
      <c r="G287" s="306"/>
      <c r="H287" s="305" t="str">
        <f t="shared" si="65"/>
        <v>18.8/0</v>
      </c>
      <c r="I287" s="306"/>
      <c r="J287" s="303" t="str">
        <f t="shared" si="66"/>
        <v>19.4/0</v>
      </c>
      <c r="K287" s="304"/>
    </row>
    <row r="288" spans="1:11" x14ac:dyDescent="0.2">
      <c r="A288" s="82">
        <f t="shared" si="62"/>
        <v>0</v>
      </c>
      <c r="B288" s="303" t="str">
        <f t="shared" si="67"/>
        <v>17.3/0</v>
      </c>
      <c r="C288" s="304"/>
      <c r="D288" s="305" t="str">
        <f t="shared" si="63"/>
        <v>17.8/0</v>
      </c>
      <c r="E288" s="306"/>
      <c r="F288" s="305" t="str">
        <f t="shared" si="64"/>
        <v>18.3/0</v>
      </c>
      <c r="G288" s="306"/>
      <c r="H288" s="305" t="str">
        <f t="shared" si="65"/>
        <v>18.8/0</v>
      </c>
      <c r="I288" s="306"/>
      <c r="J288" s="303" t="str">
        <f t="shared" si="66"/>
        <v>19.4/0</v>
      </c>
      <c r="K288" s="304"/>
    </row>
    <row r="289" spans="1:11" x14ac:dyDescent="0.2">
      <c r="A289" s="82">
        <f t="shared" si="62"/>
        <v>0</v>
      </c>
      <c r="B289" s="303" t="str">
        <f t="shared" si="67"/>
        <v>17.3/0</v>
      </c>
      <c r="C289" s="304"/>
      <c r="D289" s="305" t="str">
        <f t="shared" si="63"/>
        <v>17.8/0</v>
      </c>
      <c r="E289" s="306"/>
      <c r="F289" s="305" t="str">
        <f t="shared" si="64"/>
        <v>18.3/0</v>
      </c>
      <c r="G289" s="306"/>
      <c r="H289" s="305" t="str">
        <f t="shared" si="65"/>
        <v>18.8/0</v>
      </c>
      <c r="I289" s="306"/>
      <c r="J289" s="303" t="str">
        <f t="shared" si="66"/>
        <v>19.4/0</v>
      </c>
      <c r="K289" s="304"/>
    </row>
    <row r="290" spans="1:11" x14ac:dyDescent="0.2">
      <c r="A290" s="82">
        <f t="shared" si="62"/>
        <v>0</v>
      </c>
      <c r="B290" s="303" t="str">
        <f t="shared" si="67"/>
        <v>17.3/0</v>
      </c>
      <c r="C290" s="304"/>
      <c r="D290" s="305" t="str">
        <f t="shared" si="63"/>
        <v>17.8/0</v>
      </c>
      <c r="E290" s="306"/>
      <c r="F290" s="305" t="str">
        <f t="shared" si="64"/>
        <v>18.3/0</v>
      </c>
      <c r="G290" s="306"/>
      <c r="H290" s="305" t="str">
        <f t="shared" si="65"/>
        <v>18.8/0</v>
      </c>
      <c r="I290" s="306"/>
      <c r="J290" s="303" t="str">
        <f t="shared" si="66"/>
        <v>19.4/0</v>
      </c>
      <c r="K290" s="304"/>
    </row>
    <row r="291" spans="1:11" x14ac:dyDescent="0.2">
      <c r="A291" s="82">
        <f t="shared" si="62"/>
        <v>0</v>
      </c>
      <c r="B291" s="303" t="str">
        <f t="shared" si="67"/>
        <v>17.3/0</v>
      </c>
      <c r="C291" s="304"/>
      <c r="D291" s="305" t="str">
        <f t="shared" si="63"/>
        <v>17.8/0</v>
      </c>
      <c r="E291" s="306"/>
      <c r="F291" s="305" t="str">
        <f t="shared" si="64"/>
        <v>18.3/0</v>
      </c>
      <c r="G291" s="306"/>
      <c r="H291" s="305" t="str">
        <f t="shared" si="65"/>
        <v>18.8/0</v>
      </c>
      <c r="I291" s="306"/>
      <c r="J291" s="303" t="str">
        <f t="shared" si="66"/>
        <v>19.4/0</v>
      </c>
      <c r="K291" s="304"/>
    </row>
    <row r="292" spans="1:11" x14ac:dyDescent="0.2">
      <c r="A292" s="82">
        <f t="shared" si="62"/>
        <v>0</v>
      </c>
      <c r="B292" s="303" t="str">
        <f t="shared" si="67"/>
        <v>17.3/0</v>
      </c>
      <c r="C292" s="304"/>
      <c r="D292" s="305" t="str">
        <f t="shared" si="63"/>
        <v>17.8/0</v>
      </c>
      <c r="E292" s="306"/>
      <c r="F292" s="305" t="str">
        <f t="shared" si="64"/>
        <v>18.3/0</v>
      </c>
      <c r="G292" s="306"/>
      <c r="H292" s="305" t="str">
        <f t="shared" si="65"/>
        <v>18.8/0</v>
      </c>
      <c r="I292" s="306"/>
      <c r="J292" s="303" t="str">
        <f t="shared" si="66"/>
        <v>19.4/0</v>
      </c>
      <c r="K292" s="304"/>
    </row>
    <row r="293" spans="1:11" x14ac:dyDescent="0.2">
      <c r="A293" s="82">
        <f t="shared" si="62"/>
        <v>0</v>
      </c>
      <c r="B293" s="303" t="str">
        <f t="shared" si="67"/>
        <v>17.3/0</v>
      </c>
      <c r="C293" s="304"/>
      <c r="D293" s="305" t="str">
        <f t="shared" si="63"/>
        <v>17.8/0</v>
      </c>
      <c r="E293" s="306"/>
      <c r="F293" s="305" t="str">
        <f t="shared" si="64"/>
        <v>18.3/0</v>
      </c>
      <c r="G293" s="306"/>
      <c r="H293" s="305" t="str">
        <f t="shared" si="65"/>
        <v>18.8/0</v>
      </c>
      <c r="I293" s="306"/>
      <c r="J293" s="303" t="str">
        <f t="shared" si="66"/>
        <v>19.4/0</v>
      </c>
      <c r="K293" s="304"/>
    </row>
    <row r="294" spans="1:11" x14ac:dyDescent="0.2">
      <c r="A294" s="82">
        <f t="shared" si="62"/>
        <v>0</v>
      </c>
      <c r="B294" s="303" t="str">
        <f t="shared" si="67"/>
        <v>17.3/0</v>
      </c>
      <c r="C294" s="304"/>
      <c r="D294" s="305" t="str">
        <f t="shared" si="63"/>
        <v>17.8/0</v>
      </c>
      <c r="E294" s="306"/>
      <c r="F294" s="305" t="str">
        <f t="shared" si="64"/>
        <v>18.3/0</v>
      </c>
      <c r="G294" s="306"/>
      <c r="H294" s="305" t="str">
        <f t="shared" si="65"/>
        <v>18.8/0</v>
      </c>
      <c r="I294" s="306"/>
      <c r="J294" s="303" t="str">
        <f t="shared" si="66"/>
        <v>19.4/0</v>
      </c>
      <c r="K294" s="304"/>
    </row>
    <row r="295" spans="1:11" x14ac:dyDescent="0.2">
      <c r="A295" s="82">
        <f t="shared" si="62"/>
        <v>0</v>
      </c>
      <c r="B295" s="303" t="str">
        <f t="shared" si="67"/>
        <v>17.3/0</v>
      </c>
      <c r="C295" s="304"/>
      <c r="D295" s="305" t="str">
        <f t="shared" si="63"/>
        <v>17.8/0</v>
      </c>
      <c r="E295" s="306"/>
      <c r="F295" s="305" t="str">
        <f t="shared" si="64"/>
        <v>18.3/0</v>
      </c>
      <c r="G295" s="306"/>
      <c r="H295" s="305" t="str">
        <f t="shared" si="65"/>
        <v>18.8/0</v>
      </c>
      <c r="I295" s="306"/>
      <c r="J295" s="303" t="str">
        <f t="shared" si="66"/>
        <v>19.4/0</v>
      </c>
      <c r="K295" s="304"/>
    </row>
    <row r="296" spans="1:11" x14ac:dyDescent="0.2">
      <c r="A296" s="82">
        <f t="shared" si="62"/>
        <v>0</v>
      </c>
      <c r="B296" s="303" t="str">
        <f t="shared" si="67"/>
        <v>17.3/0</v>
      </c>
      <c r="C296" s="304"/>
      <c r="D296" s="305" t="str">
        <f t="shared" si="63"/>
        <v>17.8/0</v>
      </c>
      <c r="E296" s="306"/>
      <c r="F296" s="305" t="str">
        <f t="shared" si="64"/>
        <v>18.3/0</v>
      </c>
      <c r="G296" s="306"/>
      <c r="H296" s="305" t="str">
        <f t="shared" si="65"/>
        <v>18.8/0</v>
      </c>
      <c r="I296" s="306"/>
      <c r="J296" s="303" t="str">
        <f t="shared" si="66"/>
        <v>19.4/0</v>
      </c>
      <c r="K296" s="304"/>
    </row>
    <row r="297" spans="1:11" x14ac:dyDescent="0.2">
      <c r="A297" s="82">
        <f t="shared" si="62"/>
        <v>0</v>
      </c>
      <c r="B297" s="303" t="str">
        <f t="shared" si="67"/>
        <v>17.3/0</v>
      </c>
      <c r="C297" s="304"/>
      <c r="D297" s="305" t="str">
        <f t="shared" si="63"/>
        <v>17.8/0</v>
      </c>
      <c r="E297" s="306"/>
      <c r="F297" s="305" t="str">
        <f t="shared" si="64"/>
        <v>18.3/0</v>
      </c>
      <c r="G297" s="306"/>
      <c r="H297" s="305" t="str">
        <f t="shared" si="65"/>
        <v>18.8/0</v>
      </c>
      <c r="I297" s="306"/>
      <c r="J297" s="303" t="str">
        <f t="shared" si="66"/>
        <v>19.4/0</v>
      </c>
      <c r="K297" s="304"/>
    </row>
    <row r="298" spans="1:11" x14ac:dyDescent="0.2">
      <c r="A298" s="82">
        <f t="shared" si="62"/>
        <v>0</v>
      </c>
      <c r="B298" s="303" t="str">
        <f t="shared" si="67"/>
        <v>17.3/0</v>
      </c>
      <c r="C298" s="304"/>
      <c r="D298" s="305" t="str">
        <f t="shared" si="63"/>
        <v>17.8/0</v>
      </c>
      <c r="E298" s="306"/>
      <c r="F298" s="305" t="str">
        <f t="shared" si="64"/>
        <v>18.3/0</v>
      </c>
      <c r="G298" s="306"/>
      <c r="H298" s="305" t="str">
        <f t="shared" si="65"/>
        <v>18.8/0</v>
      </c>
      <c r="I298" s="306"/>
      <c r="J298" s="303" t="str">
        <f t="shared" si="66"/>
        <v>19.4/0</v>
      </c>
      <c r="K298" s="304"/>
    </row>
    <row r="300" spans="1:11" x14ac:dyDescent="0.2">
      <c r="A300" s="80" t="s">
        <v>131</v>
      </c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</row>
    <row r="301" spans="1:11" x14ac:dyDescent="0.2">
      <c r="A301" s="82">
        <f>A275</f>
        <v>0</v>
      </c>
      <c r="B301" s="302" t="e">
        <f ca="1">ROUND('R9'!N8/'W9'!H177*'W9'!B248*'W9'!$B$247+'R9'!N8/'W9'!H177*'W9'!C248*'W9'!C247,0)</f>
        <v>#DIV/0!</v>
      </c>
      <c r="C301" s="300"/>
      <c r="D301" s="302" t="e">
        <f ca="1">ROUND('R9'!O8/(D248+E248)*'W9'!D248*'W9'!D$247+'R9'!O8/(D248+E248)*'W9'!E248*'W9'!E$247,0)</f>
        <v>#DIV/0!</v>
      </c>
      <c r="E301" s="300"/>
      <c r="F301" s="302" t="e">
        <f ca="1">ROUND('R9'!P8/(F248+G248)*'W9'!F248*'W9'!F$247+'R9'!P8/(F248+G248)*'W9'!G248*'W9'!G$247,0)</f>
        <v>#DIV/0!</v>
      </c>
      <c r="G301" s="300"/>
      <c r="H301" s="302" t="e">
        <f ca="1">ROUND('R9'!Q8/(H248+I248)*'W9'!H248*'W9'!H$247+'R9'!Q8/(H248+I248)*'W9'!I248*'W9'!I$247,0)</f>
        <v>#DIV/0!</v>
      </c>
      <c r="I301" s="300"/>
      <c r="J301" s="302" t="e">
        <f ca="1">IF(J275=0,"",ROUND('R9'!R8/(J248+K248)*'W9'!J248*'W9'!J$247+'R9'!R8/(J248+K248)*'W9'!K248*'W9'!K$247,0))</f>
        <v>#DIV/0!</v>
      </c>
      <c r="K301" s="300"/>
    </row>
    <row r="302" spans="1:11" x14ac:dyDescent="0.2">
      <c r="A302" s="82">
        <f t="shared" ref="A302:A324" si="68">A276</f>
        <v>0</v>
      </c>
      <c r="B302" s="302" t="e">
        <f ca="1">ROUND('R9'!N9/'W9'!H178*'W9'!B249*'W9'!$B$247+'R9'!N9/'W9'!H178*'W9'!C249*'W9'!$C$247,0)</f>
        <v>#DIV/0!</v>
      </c>
      <c r="C302" s="300"/>
      <c r="D302" s="302" t="e">
        <f ca="1">ROUND('R9'!O9/(D249+E249)*'W9'!D249*'W9'!D$247+'R9'!O9/(D249+E249)*'W9'!E249*'W9'!E$247,0)</f>
        <v>#DIV/0!</v>
      </c>
      <c r="E302" s="300"/>
      <c r="F302" s="302" t="e">
        <f ca="1">ROUND('R9'!P9/(F249+G249)*'W9'!F249*'W9'!F$247+'R9'!P9/(F249+G249)*'W9'!G249*'W9'!G$247,0)</f>
        <v>#DIV/0!</v>
      </c>
      <c r="G302" s="300"/>
      <c r="H302" s="302" t="e">
        <f ca="1">ROUND('R9'!Q9/(H249+I249)*'W9'!H249*'W9'!H$247+'R9'!Q9/(H249+I249)*'W9'!I249*'W9'!I$247,0)</f>
        <v>#DIV/0!</v>
      </c>
      <c r="I302" s="300"/>
      <c r="J302" s="302" t="e">
        <f ca="1">IF(J276=0,"",ROUND('R9'!R9/(J249+K249)*'W9'!J249*'W9'!J$247+'R9'!R9/(J249+K249)*'W9'!K249*'W9'!K$247,0))</f>
        <v>#DIV/0!</v>
      </c>
      <c r="K302" s="300"/>
    </row>
    <row r="303" spans="1:11" x14ac:dyDescent="0.2">
      <c r="A303" s="82">
        <f t="shared" si="68"/>
        <v>0</v>
      </c>
      <c r="B303" s="302" t="e">
        <f ca="1">ROUND('R9'!N10/'W9'!H179*'W9'!B250*'W9'!$B$247+'R9'!N10/'W9'!H179*'W9'!C250*'W9'!$C$247,0)</f>
        <v>#DIV/0!</v>
      </c>
      <c r="C303" s="300"/>
      <c r="D303" s="302" t="e">
        <f ca="1">ROUND('R9'!O10/(D250+E250)*'W9'!D250*'W9'!D$247+'R9'!O10/(D250+E250)*'W9'!E250*'W9'!E$247,0)</f>
        <v>#DIV/0!</v>
      </c>
      <c r="E303" s="300"/>
      <c r="F303" s="302" t="e">
        <f ca="1">ROUND('R9'!P10/(F250+G250)*'W9'!F250*'W9'!F$247+'R9'!P10/(F250+G250)*'W9'!G250*'W9'!G$247,0)</f>
        <v>#DIV/0!</v>
      </c>
      <c r="G303" s="300"/>
      <c r="H303" s="302" t="e">
        <f ca="1">ROUND('R9'!Q10/(H250+I250)*'W9'!H250*'W9'!H$247+'R9'!Q10/(H250+I250)*'W9'!I250*'W9'!I$247,0)</f>
        <v>#DIV/0!</v>
      </c>
      <c r="I303" s="300"/>
      <c r="J303" s="302" t="e">
        <f ca="1">IF(J277=0,"",ROUND('R9'!R10/(J250+K250)*'W9'!J250*'W9'!J$247+'R9'!R10/(J250+K250)*'W9'!K250*'W9'!K$247,0))</f>
        <v>#DIV/0!</v>
      </c>
      <c r="K303" s="300"/>
    </row>
    <row r="304" spans="1:11" x14ac:dyDescent="0.2">
      <c r="A304" s="82">
        <f t="shared" si="68"/>
        <v>0</v>
      </c>
      <c r="B304" s="302" t="e">
        <f ca="1">ROUND('R9'!N11/'W9'!H180*'W9'!B251*'W9'!$B$247+'R9'!N11/'W9'!H180*'W9'!C251*'W9'!$C$247,0)</f>
        <v>#DIV/0!</v>
      </c>
      <c r="C304" s="300"/>
      <c r="D304" s="302" t="e">
        <f ca="1">ROUND('R9'!O11/(D251+E251)*'W9'!D251*'W9'!D$247+'R9'!O11/(D251+E251)*'W9'!E251*'W9'!E$247,0)</f>
        <v>#DIV/0!</v>
      </c>
      <c r="E304" s="300"/>
      <c r="F304" s="302" t="e">
        <f ca="1">ROUND('R9'!P11/(F251+G251)*'W9'!F251*'W9'!F$247+'R9'!P11/(F251+G251)*'W9'!G251*'W9'!G$247,0)</f>
        <v>#DIV/0!</v>
      </c>
      <c r="G304" s="300"/>
      <c r="H304" s="302" t="e">
        <f ca="1">ROUND('R9'!Q11/(H251+I251)*'W9'!H251*'W9'!H$247+'R9'!Q11/(H251+I251)*'W9'!I251*'W9'!I$247,0)</f>
        <v>#DIV/0!</v>
      </c>
      <c r="I304" s="300"/>
      <c r="J304" s="302" t="e">
        <f ca="1">IF(J278=0,"",ROUND('R9'!R11/(J251+K251)*'W9'!J251*'W9'!J$247+'R9'!R11/(J251+K251)*'W9'!K251*'W9'!K$247,0))</f>
        <v>#DIV/0!</v>
      </c>
      <c r="K304" s="300"/>
    </row>
    <row r="305" spans="1:12" x14ac:dyDescent="0.2">
      <c r="A305" s="82">
        <f t="shared" si="68"/>
        <v>0</v>
      </c>
      <c r="B305" s="302">
        <f>IF((B252+C252)&lt;&gt;0,ROUND('R9'!N12/'W9'!H181*'W9'!B252*'W9'!$B$247+'R9'!N12/'W9'!H181*'W9'!C252*'W9'!$C$247,0),0)</f>
        <v>0</v>
      </c>
      <c r="C305" s="300"/>
      <c r="D305" s="302" t="e">
        <f ca="1">ROUND('R9'!O12/(D252+E252)*'W9'!D252*'W9'!D$247+'R9'!O12/(D252+E252)*'W9'!E252*'W9'!E$247,0)</f>
        <v>#DIV/0!</v>
      </c>
      <c r="E305" s="300"/>
      <c r="F305" s="302" t="e">
        <f ca="1">ROUND('R9'!P12/(F252+G252)*'W9'!F252*'W9'!F$247+'R9'!P12/(F252+G252)*'W9'!G252*'W9'!G$247,0)</f>
        <v>#DIV/0!</v>
      </c>
      <c r="G305" s="300"/>
      <c r="H305" s="302" t="e">
        <f ca="1">ROUND('R9'!Q12/(H252+I252)*'W9'!H252*'W9'!H$247+'R9'!Q12/(H252+I252)*'W9'!I252*'W9'!I$247,0)</f>
        <v>#DIV/0!</v>
      </c>
      <c r="I305" s="300"/>
      <c r="J305" s="302" t="e">
        <f ca="1">IF(J279=0,"",ROUND('R9'!R12/(J252+K252)*'W9'!J252*'W9'!J$247+'R9'!R12/(J252+K252)*'W9'!K252*'W9'!K$247,0))</f>
        <v>#DIV/0!</v>
      </c>
      <c r="K305" s="300"/>
      <c r="L305" s="17"/>
    </row>
    <row r="306" spans="1:12" x14ac:dyDescent="0.2">
      <c r="A306" s="82">
        <f t="shared" si="68"/>
        <v>0</v>
      </c>
      <c r="B306" s="302">
        <f>IF((B253+C253)&lt;&gt;0,ROUND('R9'!N13/'W9'!H182*'W9'!B253*'W9'!$B$247+'R9'!N13/'W9'!H182*'W9'!C253*'W9'!$C$247,0),0)</f>
        <v>0</v>
      </c>
      <c r="C306" s="300"/>
      <c r="D306" s="302" t="e">
        <f ca="1">ROUND('R9'!O13/(D253+E253)*'W9'!D253*'W9'!D$247+'R9'!O13/(D253+E253)*'W9'!E253*'W9'!E$247,0)</f>
        <v>#DIV/0!</v>
      </c>
      <c r="E306" s="300"/>
      <c r="F306" s="302" t="e">
        <f ca="1">ROUND('R9'!P13/(F253+G253)*'W9'!F253*'W9'!F$247+'R9'!P13/(F253+G253)*'W9'!G253*'W9'!G$247,0)</f>
        <v>#DIV/0!</v>
      </c>
      <c r="G306" s="300"/>
      <c r="H306" s="302" t="e">
        <f ca="1">ROUND('R9'!Q13/(H253+I253)*'W9'!H253*'W9'!H$247+'R9'!Q13/(H253+I253)*'W9'!I253*'W9'!I$247,0)</f>
        <v>#DIV/0!</v>
      </c>
      <c r="I306" s="300"/>
      <c r="J306" s="302" t="e">
        <f ca="1">IF(J280=0,"",ROUND('R9'!R13/(J253+K253)*'W9'!J253*'W9'!J$247+'R9'!R13/(J253+K253)*'W9'!K253*'W9'!K$247,0))</f>
        <v>#DIV/0!</v>
      </c>
      <c r="K306" s="300"/>
    </row>
    <row r="307" spans="1:12" x14ac:dyDescent="0.2">
      <c r="A307" s="82">
        <f t="shared" si="68"/>
        <v>0</v>
      </c>
      <c r="B307" s="302">
        <f>IF((B254+C254)&lt;&gt;0,ROUND('R9'!N14/'W9'!H183*'W9'!B254*'W9'!$B$247+'R9'!N14/'W9'!H183*'W9'!C254*'W9'!$C$247,0),0)</f>
        <v>0</v>
      </c>
      <c r="C307" s="300"/>
      <c r="D307" s="302" t="e">
        <f ca="1">ROUND('R9'!O14/(D254+E254)*'W9'!D254*'W9'!D$247+'R9'!O14/(D254+E254)*'W9'!E254*'W9'!E$247,0)</f>
        <v>#DIV/0!</v>
      </c>
      <c r="E307" s="300"/>
      <c r="F307" s="302" t="e">
        <f ca="1">ROUND('R9'!P14/(F254+G254)*'W9'!F254*'W9'!F$247+'R9'!P14/(F254+G254)*'W9'!G254*'W9'!G$247,0)</f>
        <v>#DIV/0!</v>
      </c>
      <c r="G307" s="300"/>
      <c r="H307" s="302" t="e">
        <f ca="1">ROUND('R9'!Q14/(H254+I254)*'W9'!H254*'W9'!H$247+'R9'!Q14/(H254+I254)*'W9'!I254*'W9'!I$247,0)</f>
        <v>#DIV/0!</v>
      </c>
      <c r="I307" s="300"/>
      <c r="J307" s="302" t="e">
        <f ca="1">IF(J281=0,"",ROUND('R9'!R14/(J254+K254)*'W9'!J254*'W9'!J$247+'R9'!R14/(J254+K254)*'W9'!K254*'W9'!K$247,0))</f>
        <v>#DIV/0!</v>
      </c>
      <c r="K307" s="300"/>
    </row>
    <row r="308" spans="1:12" x14ac:dyDescent="0.2">
      <c r="A308" s="82">
        <f t="shared" si="68"/>
        <v>0</v>
      </c>
      <c r="B308" s="302">
        <f>IF((B255+C255)&lt;&gt;0,ROUND('R9'!N15/'W9'!H184*'W9'!B255*'W9'!$B$247+'R9'!N15/'W9'!H184*'W9'!C255*'W9'!$C$247,0),0)</f>
        <v>0</v>
      </c>
      <c r="C308" s="300"/>
      <c r="D308" s="302" t="e">
        <f ca="1">ROUND('R9'!O15/(D255+E255)*'W9'!D255*'W9'!D$247+'R9'!O15/(D255+E255)*'W9'!E255*'W9'!E$247,0)</f>
        <v>#DIV/0!</v>
      </c>
      <c r="E308" s="300"/>
      <c r="F308" s="302" t="e">
        <f ca="1">ROUND('R9'!P15/(F255+G255)*'W9'!F255*'W9'!F$247+'R9'!P15/(F255+G255)*'W9'!G255*'W9'!G$247,0)</f>
        <v>#DIV/0!</v>
      </c>
      <c r="G308" s="300"/>
      <c r="H308" s="302" t="e">
        <f ca="1">ROUND('R9'!Q15/(H255+I255)*'W9'!H255*'W9'!H$247+'R9'!Q15/(H255+I255)*'W9'!I255*'W9'!I$247,0)</f>
        <v>#DIV/0!</v>
      </c>
      <c r="I308" s="300"/>
      <c r="J308" s="302" t="e">
        <f ca="1">IF(J282=0,"",ROUND('R9'!R15/(J255+K255)*'W9'!J255*'W9'!J$247+'R9'!R15/(J255+K255)*'W9'!K255*'W9'!K$247,0))</f>
        <v>#DIV/0!</v>
      </c>
      <c r="K308" s="300"/>
    </row>
    <row r="309" spans="1:12" x14ac:dyDescent="0.2">
      <c r="A309" s="82">
        <f t="shared" si="68"/>
        <v>0</v>
      </c>
      <c r="B309" s="302">
        <f>IF((B256+C256)&lt;&gt;0,ROUND('R9'!N16/'W9'!H185*'W9'!B256*'W9'!$B$247+'R9'!N16/'W9'!H185*'W9'!C256*'W9'!$C$247,0),0)</f>
        <v>0</v>
      </c>
      <c r="C309" s="300"/>
      <c r="D309" s="302" t="e">
        <f ca="1">ROUND('R9'!O16/(D256+E256)*'W9'!D256*'W9'!D$247+'R9'!O16/(D256+E256)*'W9'!E256*'W9'!E$247,0)</f>
        <v>#DIV/0!</v>
      </c>
      <c r="E309" s="300"/>
      <c r="F309" s="302" t="e">
        <f ca="1">ROUND('R9'!P16/(F256+G256)*'W9'!F256*'W9'!F$247+'R9'!P16/(F256+G256)*'W9'!G256*'W9'!G$247,0)</f>
        <v>#DIV/0!</v>
      </c>
      <c r="G309" s="300"/>
      <c r="H309" s="302" t="e">
        <f ca="1">ROUND('R9'!Q16/(H256+I256)*'W9'!H256*'W9'!H$247+'R9'!Q16/(H256+I256)*'W9'!I256*'W9'!I$247,0)</f>
        <v>#DIV/0!</v>
      </c>
      <c r="I309" s="300"/>
      <c r="J309" s="302" t="e">
        <f ca="1">IF(J283=0,"",ROUND('R9'!R16/(J256+K256)*'W9'!J256*'W9'!J$247+'R9'!R16/(J256+K256)*'W9'!K256*'W9'!K$247,0))</f>
        <v>#DIV/0!</v>
      </c>
      <c r="K309" s="300"/>
    </row>
    <row r="310" spans="1:12" x14ac:dyDescent="0.2">
      <c r="A310" s="82">
        <f t="shared" si="68"/>
        <v>0</v>
      </c>
      <c r="B310" s="302">
        <f>IF((B257+C257)&lt;&gt;0,ROUND('R9'!N17/'W9'!H186*'W9'!B257*'W9'!$B$247+'R9'!N17/'W9'!H186*'W9'!C257*'W9'!$C$247,0),0)</f>
        <v>0</v>
      </c>
      <c r="C310" s="300"/>
      <c r="D310" s="302" t="e">
        <f ca="1">ROUND('R9'!O17/(D257+E257)*'W9'!D257*'W9'!D$247+'R9'!O17/(D257+E257)*'W9'!E257*'W9'!E$247,0)</f>
        <v>#DIV/0!</v>
      </c>
      <c r="E310" s="300"/>
      <c r="F310" s="302" t="e">
        <f ca="1">ROUND('R9'!P17/(F257+G257)*'W9'!F257*'W9'!F$247+'R9'!P17/(F257+G257)*'W9'!G257*'W9'!G$247,0)</f>
        <v>#DIV/0!</v>
      </c>
      <c r="G310" s="300"/>
      <c r="H310" s="302" t="e">
        <f ca="1">ROUND('R9'!Q17/(H257+I257)*'W9'!H257*'W9'!H$247+'R9'!Q17/(H257+I257)*'W9'!I257*'W9'!I$247,0)</f>
        <v>#DIV/0!</v>
      </c>
      <c r="I310" s="300"/>
      <c r="J310" s="302" t="e">
        <f ca="1">IF(J284=0,"",ROUND('R9'!R17/(J257+K257)*'W9'!J257*'W9'!J$247+'R9'!R17/(J257+K257)*'W9'!K257*'W9'!K$247,0))</f>
        <v>#DIV/0!</v>
      </c>
      <c r="K310" s="300"/>
    </row>
    <row r="311" spans="1:12" x14ac:dyDescent="0.2">
      <c r="A311" s="82">
        <f t="shared" si="68"/>
        <v>0</v>
      </c>
      <c r="B311" s="302">
        <f>IF((B258+C258)&lt;&gt;0,ROUND('R9'!N18/'W9'!H187*'W9'!B258*'W9'!$B$247+'R9'!N18/'W9'!H187*'W9'!C258*'W9'!$C$247,0),0)</f>
        <v>0</v>
      </c>
      <c r="C311" s="300"/>
      <c r="D311" s="302" t="e">
        <f ca="1">ROUND('R9'!O18/(D258+E258)*'W9'!D258*'W9'!D$247+'R9'!O18/(D258+E258)*'W9'!E258*'W9'!E$247,0)</f>
        <v>#DIV/0!</v>
      </c>
      <c r="E311" s="300"/>
      <c r="F311" s="302" t="e">
        <f ca="1">ROUND('R9'!P18/(F258+G258)*'W9'!F258*'W9'!F$247+'R9'!P18/(F258+G258)*'W9'!G258*'W9'!G$247,0)</f>
        <v>#DIV/0!</v>
      </c>
      <c r="G311" s="300"/>
      <c r="H311" s="302" t="e">
        <f ca="1">ROUND('R9'!Q18/(H258+I258)*'W9'!H258*'W9'!H$247+'R9'!Q18/(H258+I258)*'W9'!I258*'W9'!I$247,0)</f>
        <v>#DIV/0!</v>
      </c>
      <c r="I311" s="300"/>
      <c r="J311" s="302" t="e">
        <f ca="1">IF(J285=0,"",ROUND('R9'!R18/(J258+K258)*'W9'!J258*'W9'!J$247+'R9'!R18/(J258+K258)*'W9'!K258*'W9'!K$247,0))</f>
        <v>#DIV/0!</v>
      </c>
      <c r="K311" s="300"/>
    </row>
    <row r="312" spans="1:12" x14ac:dyDescent="0.2">
      <c r="A312" s="82">
        <f t="shared" si="68"/>
        <v>0</v>
      </c>
      <c r="B312" s="302">
        <f>IF((B259+C259)&lt;&gt;0,ROUND('R9'!N19/'W9'!H188*'W9'!B259*'W9'!$B$247+'R9'!N19/'W9'!H188*'W9'!C259*'W9'!$C$247,0),0)</f>
        <v>0</v>
      </c>
      <c r="C312" s="300"/>
      <c r="D312" s="302" t="e">
        <f ca="1">ROUND('R9'!O19/(D259+E259)*'W9'!D259*'W9'!D$247+'R9'!O19/(D259+E259)*'W9'!E259*'W9'!E$247,0)</f>
        <v>#DIV/0!</v>
      </c>
      <c r="E312" s="300"/>
      <c r="F312" s="302" t="e">
        <f ca="1">ROUND('R9'!P19/(F259+G259)*'W9'!F259*'W9'!F$247+'R9'!P19/(F259+G259)*'W9'!G259*'W9'!G$247,0)</f>
        <v>#DIV/0!</v>
      </c>
      <c r="G312" s="300"/>
      <c r="H312" s="302" t="e">
        <f ca="1">ROUND('R9'!Q19/(H259+I259)*'W9'!H259*'W9'!H$247+'R9'!Q19/(H259+I259)*'W9'!I259*'W9'!I$247,0)</f>
        <v>#DIV/0!</v>
      </c>
      <c r="I312" s="300"/>
      <c r="J312" s="302" t="e">
        <f ca="1">IF(J286=0,"",ROUND('R9'!R19/(J259+K259)*'W9'!J259*'W9'!J$247+'R9'!R19/(J259+K259)*'W9'!K259*'W9'!K$247,0))</f>
        <v>#DIV/0!</v>
      </c>
      <c r="K312" s="300"/>
    </row>
    <row r="313" spans="1:12" x14ac:dyDescent="0.2">
      <c r="A313" s="82">
        <f t="shared" si="68"/>
        <v>0</v>
      </c>
      <c r="B313" s="302">
        <f>IF((B260+C260)&lt;&gt;0,ROUND('R9'!N20/'W9'!H189*'W9'!B260*'W9'!$B$247+'R9'!N20/'W9'!H189*'W9'!C260*'W9'!$C$247,0),0)</f>
        <v>0</v>
      </c>
      <c r="C313" s="300"/>
      <c r="D313" s="302" t="e">
        <f ca="1">ROUND('R9'!O20/(D260+E260)*'W9'!D260*'W9'!D$247+'R9'!O20/(D260+E260)*'W9'!E260*'W9'!E$247,0)</f>
        <v>#DIV/0!</v>
      </c>
      <c r="E313" s="300"/>
      <c r="F313" s="302" t="e">
        <f ca="1">ROUND('R9'!P20/(F260+G260)*'W9'!F260*'W9'!F$247+'R9'!P20/(F260+G260)*'W9'!G260*'W9'!G$247,0)</f>
        <v>#DIV/0!</v>
      </c>
      <c r="G313" s="300"/>
      <c r="H313" s="302" t="e">
        <f ca="1">ROUND('R9'!Q20/(H260+I260)*'W9'!H260*'W9'!H$247+'R9'!Q20/(H260+I260)*'W9'!I260*'W9'!I$247,0)</f>
        <v>#DIV/0!</v>
      </c>
      <c r="I313" s="300"/>
      <c r="J313" s="302" t="e">
        <f ca="1">IF(J287=0,"",ROUND('R9'!R20/(J260+K260)*'W9'!J260*'W9'!J$247+'R9'!R20/(J260+K260)*'W9'!K260*'W9'!K$247,0))</f>
        <v>#DIV/0!</v>
      </c>
      <c r="K313" s="300"/>
    </row>
    <row r="314" spans="1:12" x14ac:dyDescent="0.2">
      <c r="A314" s="82">
        <f t="shared" si="68"/>
        <v>0</v>
      </c>
      <c r="B314" s="302">
        <f>IF((B261+C261)&lt;&gt;0,ROUND('R9'!N21/'W9'!H190*'W9'!B261*'W9'!$B$247+'R9'!N21/'W9'!H190*'W9'!C261*'W9'!$C$247,0),0)</f>
        <v>0</v>
      </c>
      <c r="C314" s="300"/>
      <c r="D314" s="302" t="e">
        <f ca="1">ROUND('R9'!O21/(D261+E261)*'W9'!D261*'W9'!D$247+'R9'!O21/(D261+E261)*'W9'!E261*'W9'!E$247,0)</f>
        <v>#DIV/0!</v>
      </c>
      <c r="E314" s="300"/>
      <c r="F314" s="302" t="e">
        <f ca="1">ROUND('R9'!P21/(F261+G261)*'W9'!F261*'W9'!F$247+'R9'!P21/(F261+G261)*'W9'!G261*'W9'!G$247,0)</f>
        <v>#DIV/0!</v>
      </c>
      <c r="G314" s="300"/>
      <c r="H314" s="302" t="e">
        <f ca="1">ROUND('R9'!Q21/(H261+I261)*'W9'!H261*'W9'!H$247+'R9'!Q21/(H261+I261)*'W9'!I261*'W9'!I$247,0)</f>
        <v>#DIV/0!</v>
      </c>
      <c r="I314" s="300"/>
      <c r="J314" s="302" t="e">
        <f ca="1">IF(J288=0,"",ROUND('R9'!R21/(J261+K261)*'W9'!J261*'W9'!J$247+'R9'!R21/(J261+K261)*'W9'!K261*'W9'!K$247,0))</f>
        <v>#DIV/0!</v>
      </c>
      <c r="K314" s="300"/>
    </row>
    <row r="315" spans="1:12" x14ac:dyDescent="0.2">
      <c r="A315" s="82">
        <f t="shared" si="68"/>
        <v>0</v>
      </c>
      <c r="B315" s="302">
        <f>IF((B262+C262)&lt;&gt;0,ROUND('R9'!N22/'W9'!H191*'W9'!B262*'W9'!$B$247+'R9'!N22/'W9'!H191*'W9'!C262*'W9'!$C$247,0),0)</f>
        <v>0</v>
      </c>
      <c r="C315" s="300"/>
      <c r="D315" s="302" t="e">
        <f ca="1">ROUND('R9'!O22/(D262+E262)*'W9'!D262*'W9'!D$247+'R9'!O22/(D262+E262)*'W9'!E262*'W9'!E$247,0)</f>
        <v>#DIV/0!</v>
      </c>
      <c r="E315" s="300"/>
      <c r="F315" s="302" t="e">
        <f ca="1">ROUND('R9'!P22/(F262+G262)*'W9'!F262*'W9'!F$247+'R9'!P22/(F262+G262)*'W9'!G262*'W9'!G$247,0)</f>
        <v>#DIV/0!</v>
      </c>
      <c r="G315" s="300"/>
      <c r="H315" s="302" t="e">
        <f ca="1">ROUND('R9'!Q22/(H262+I262)*'W9'!H262*'W9'!H$247+'R9'!Q22/(H262+I262)*'W9'!I262*'W9'!I$247,0)</f>
        <v>#DIV/0!</v>
      </c>
      <c r="I315" s="300"/>
      <c r="J315" s="302" t="e">
        <f ca="1">IF(J289=0,"",ROUND('R9'!R22/(J262+K262)*'W9'!J262*'W9'!J$247+'R9'!R22/(J262+K262)*'W9'!K262*'W9'!K$247,0))</f>
        <v>#DIV/0!</v>
      </c>
      <c r="K315" s="300"/>
    </row>
    <row r="316" spans="1:12" x14ac:dyDescent="0.2">
      <c r="A316" s="82">
        <f t="shared" si="68"/>
        <v>0</v>
      </c>
      <c r="B316" s="302">
        <f>IF((B263+C263)&lt;&gt;0,ROUND('R9'!N23/'W9'!H192*'W9'!B263*'W9'!$B$247+'R9'!N23/'W9'!H192*'W9'!C263*'W9'!$C$247,0),0)</f>
        <v>0</v>
      </c>
      <c r="C316" s="300"/>
      <c r="D316" s="302" t="e">
        <f ca="1">ROUND('R9'!O23/(D263+E263)*'W9'!D263*'W9'!D$247+'R9'!O23/(D263+E263)*'W9'!E263*'W9'!E$247,0)</f>
        <v>#DIV/0!</v>
      </c>
      <c r="E316" s="300"/>
      <c r="F316" s="302" t="e">
        <f ca="1">ROUND('R9'!P23/(F263+G263)*'W9'!F263*'W9'!F$247+'R9'!P23/(F263+G263)*'W9'!G263*'W9'!G$247,0)</f>
        <v>#DIV/0!</v>
      </c>
      <c r="G316" s="300"/>
      <c r="H316" s="302" t="e">
        <f ca="1">ROUND('R9'!Q23/(H263+I263)*'W9'!H263*'W9'!H$247+'R9'!Q23/(H263+I263)*'W9'!I263*'W9'!I$247,0)</f>
        <v>#DIV/0!</v>
      </c>
      <c r="I316" s="300"/>
      <c r="J316" s="302" t="e">
        <f ca="1">IF(J290=0,"",ROUND('R9'!R23/(J263+K263)*'W9'!J263*'W9'!J$247+'R9'!R23/(J263+K263)*'W9'!K263*'W9'!K$247,0))</f>
        <v>#DIV/0!</v>
      </c>
      <c r="K316" s="300"/>
    </row>
    <row r="317" spans="1:12" x14ac:dyDescent="0.2">
      <c r="A317" s="82">
        <f t="shared" si="68"/>
        <v>0</v>
      </c>
      <c r="B317" s="302">
        <f>IF((B264+C264)&lt;&gt;0,ROUND('R9'!N24/'W9'!H193*'W9'!B264*'W9'!$B$247+'R9'!N24/'W9'!H193*'W9'!C264*'W9'!$C$247,0),0)</f>
        <v>0</v>
      </c>
      <c r="C317" s="300"/>
      <c r="D317" s="302" t="e">
        <f ca="1">ROUND('R9'!O24/(D264+E264)*'W9'!D264*'W9'!D$247+'R9'!O24/(D264+E264)*'W9'!E264*'W9'!E$247,0)</f>
        <v>#DIV/0!</v>
      </c>
      <c r="E317" s="300"/>
      <c r="F317" s="302" t="e">
        <f ca="1">ROUND('R9'!P24/(F264+G264)*'W9'!F264*'W9'!F$247+'R9'!P24/(F264+G264)*'W9'!G264*'W9'!G$247,0)</f>
        <v>#DIV/0!</v>
      </c>
      <c r="G317" s="300"/>
      <c r="H317" s="302" t="e">
        <f ca="1">ROUND('R9'!Q24/(H264+I264)*'W9'!H264*'W9'!H$247+'R9'!Q24/(H264+I264)*'W9'!I264*'W9'!I$247,0)</f>
        <v>#DIV/0!</v>
      </c>
      <c r="I317" s="300"/>
      <c r="J317" s="302" t="e">
        <f ca="1">IF(J291=0,"",ROUND('R9'!R24/(J264+K264)*'W9'!J264*'W9'!J$247+'R9'!R24/(J264+K264)*'W9'!K264*'W9'!K$247,0))</f>
        <v>#DIV/0!</v>
      </c>
      <c r="K317" s="300"/>
    </row>
    <row r="318" spans="1:12" x14ac:dyDescent="0.2">
      <c r="A318" s="82">
        <f t="shared" si="68"/>
        <v>0</v>
      </c>
      <c r="B318" s="302">
        <f>IF((B265+C265)&lt;&gt;0,ROUND('R9'!N25/'W9'!H194*'W9'!B265*'W9'!$B$247+'R9'!N25/'W9'!H194*'W9'!C265*'W9'!$C$247,0),0)</f>
        <v>0</v>
      </c>
      <c r="C318" s="300"/>
      <c r="D318" s="302" t="e">
        <f ca="1">ROUND('R9'!O25/(D265+E265)*'W9'!D265*'W9'!D$247+'R9'!O25/(D265+E265)*'W9'!E265*'W9'!E$247,0)</f>
        <v>#DIV/0!</v>
      </c>
      <c r="E318" s="300"/>
      <c r="F318" s="302" t="e">
        <f ca="1">ROUND('R9'!P25/(F265+G265)*'W9'!F265*'W9'!F$247+'R9'!P25/(F265+G265)*'W9'!G265*'W9'!G$247,0)</f>
        <v>#DIV/0!</v>
      </c>
      <c r="G318" s="300"/>
      <c r="H318" s="302" t="e">
        <f ca="1">ROUND('R9'!Q25/(H265+I265)*'W9'!H265*'W9'!H$247+'R9'!Q25/(H265+I265)*'W9'!I265*'W9'!I$247,0)</f>
        <v>#DIV/0!</v>
      </c>
      <c r="I318" s="300"/>
      <c r="J318" s="302" t="e">
        <f ca="1">IF(J292=0,"",ROUND('R9'!R25/(J265+K265)*'W9'!J265*'W9'!J$247+'R9'!R25/(J265+K265)*'W9'!K265*'W9'!K$247,0))</f>
        <v>#DIV/0!</v>
      </c>
      <c r="K318" s="300"/>
    </row>
    <row r="319" spans="1:12" x14ac:dyDescent="0.2">
      <c r="A319" s="82">
        <f t="shared" si="68"/>
        <v>0</v>
      </c>
      <c r="B319" s="302">
        <f>IF((B266+C266)&lt;&gt;0,ROUND('R9'!N26/'W9'!H195*'W9'!B266*'W9'!$B$247+'R9'!N26/'W9'!H195*'W9'!C266*'W9'!$C$247,0),0)</f>
        <v>0</v>
      </c>
      <c r="C319" s="300"/>
      <c r="D319" s="302" t="e">
        <f ca="1">ROUND('R9'!O26/(D266+E266)*'W9'!D266*'W9'!D$247+'R9'!O26/(D266+E266)*'W9'!E266*'W9'!E$247,0)</f>
        <v>#DIV/0!</v>
      </c>
      <c r="E319" s="300"/>
      <c r="F319" s="302" t="e">
        <f ca="1">ROUND('R9'!P26/(F266+G266)*'W9'!F266*'W9'!F$247+'R9'!P26/(F266+G266)*'W9'!G266*'W9'!G$247,0)</f>
        <v>#DIV/0!</v>
      </c>
      <c r="G319" s="300"/>
      <c r="H319" s="302" t="e">
        <f ca="1">ROUND('R9'!Q26/(H266+I266)*'W9'!H266*'W9'!H$247+'R9'!Q26/(H266+I266)*'W9'!I266*'W9'!I$247,0)</f>
        <v>#DIV/0!</v>
      </c>
      <c r="I319" s="300"/>
      <c r="J319" s="302" t="e">
        <f ca="1">IF(J293=0,"",ROUND('R9'!R26/(J266+K266)*'W9'!J266*'W9'!J$247+'R9'!R26/(J266+K266)*'W9'!K266*'W9'!K$247,0))</f>
        <v>#DIV/0!</v>
      </c>
      <c r="K319" s="300"/>
    </row>
    <row r="320" spans="1:12" x14ac:dyDescent="0.2">
      <c r="A320" s="82">
        <f t="shared" si="68"/>
        <v>0</v>
      </c>
      <c r="B320" s="302">
        <f>IF((B267+C267)&lt;&gt;0,ROUND('R9'!N27/'W9'!H196*'W9'!B267*'W9'!$B$247+'R9'!N27/'W9'!H196*'W9'!C267*'W9'!$C$247,0),0)</f>
        <v>0</v>
      </c>
      <c r="C320" s="300"/>
      <c r="D320" s="302" t="e">
        <f ca="1">ROUND('R9'!O27/(D267+E267)*'W9'!D267*'W9'!D$247+'R9'!O27/(D267+E267)*'W9'!E267*'W9'!E$247,0)</f>
        <v>#DIV/0!</v>
      </c>
      <c r="E320" s="300"/>
      <c r="F320" s="302" t="e">
        <f ca="1">ROUND('R9'!P27/(F267+G267)*'W9'!F267*'W9'!F$247+'R9'!P27/(F267+G267)*'W9'!G267*'W9'!G$247,0)</f>
        <v>#DIV/0!</v>
      </c>
      <c r="G320" s="300"/>
      <c r="H320" s="302" t="e">
        <f ca="1">ROUND('R9'!Q27/(H267+I267)*'W9'!H267*'W9'!H$247+'R9'!Q27/(H267+I267)*'W9'!I267*'W9'!I$247,0)</f>
        <v>#DIV/0!</v>
      </c>
      <c r="I320" s="300"/>
      <c r="J320" s="302" t="e">
        <f ca="1">IF(J294=0,"",ROUND('R9'!R27/(J267+K267)*'W9'!J267*'W9'!J$247+'R9'!R27/(J267+K267)*'W9'!K267*'W9'!K$247,0))</f>
        <v>#DIV/0!</v>
      </c>
      <c r="K320" s="300"/>
    </row>
    <row r="321" spans="1:11" x14ac:dyDescent="0.2">
      <c r="A321" s="82">
        <f t="shared" si="68"/>
        <v>0</v>
      </c>
      <c r="B321" s="302">
        <f>IF((B268+C268)&lt;&gt;0,ROUND('R9'!N28/'W9'!H197*'W9'!B268*'W9'!$B$247+'R9'!N28/'W9'!H197*'W9'!C268*'W9'!$C$247,0),0)</f>
        <v>0</v>
      </c>
      <c r="C321" s="300"/>
      <c r="D321" s="302" t="e">
        <f ca="1">ROUND('R9'!O28/(D268+E268)*'W9'!D268*'W9'!D$247+'R9'!O28/(D268+E268)*'W9'!E268*'W9'!E$247,0)</f>
        <v>#DIV/0!</v>
      </c>
      <c r="E321" s="300"/>
      <c r="F321" s="302" t="e">
        <f ca="1">ROUND('R9'!P28/(F268+G268)*'W9'!F268*'W9'!F$247+'R9'!P28/(F268+G268)*'W9'!G268*'W9'!G$247,0)</f>
        <v>#DIV/0!</v>
      </c>
      <c r="G321" s="300"/>
      <c r="H321" s="302" t="e">
        <f ca="1">ROUND('R9'!Q28/(H268+I268)*'W9'!H268*'W9'!H$247+'R9'!Q28/(H268+I268)*'W9'!I268*'W9'!I$247,0)</f>
        <v>#DIV/0!</v>
      </c>
      <c r="I321" s="300"/>
      <c r="J321" s="302" t="e">
        <f ca="1">IF(J295=0,"",ROUND('R9'!R28/(J268+K268)*'W9'!J268*'W9'!J$247+'R9'!R28/(J268+K268)*'W9'!K268*'W9'!K$247,0))</f>
        <v>#DIV/0!</v>
      </c>
      <c r="K321" s="300"/>
    </row>
    <row r="322" spans="1:11" x14ac:dyDescent="0.2">
      <c r="A322" s="82">
        <f t="shared" si="68"/>
        <v>0</v>
      </c>
      <c r="B322" s="302">
        <f>IF((B269+C269)&lt;&gt;0,ROUND('R9'!N29/'W9'!H198*'W9'!B269*'W9'!$B$247+'R9'!N29/'W9'!H198*'W9'!C269*'W9'!$C$247,0),0)</f>
        <v>0</v>
      </c>
      <c r="C322" s="300"/>
      <c r="D322" s="302" t="e">
        <f ca="1">ROUND('R9'!O29/(D269+E269)*'W9'!D269*'W9'!D$247+'R9'!O29/(D269+E269)*'W9'!E269*'W9'!E$247,0)</f>
        <v>#DIV/0!</v>
      </c>
      <c r="E322" s="300"/>
      <c r="F322" s="302" t="e">
        <f ca="1">ROUND('R9'!P29/(F269+G269)*'W9'!F269*'W9'!F$247+'R9'!P29/(F269+G269)*'W9'!G269*'W9'!G$247,0)</f>
        <v>#DIV/0!</v>
      </c>
      <c r="G322" s="300"/>
      <c r="H322" s="302" t="e">
        <f ca="1">ROUND('R9'!Q29/(H269+I269)*'W9'!H269*'W9'!H$247+'R9'!Q29/(H269+I269)*'W9'!I269*'W9'!I$247,0)</f>
        <v>#DIV/0!</v>
      </c>
      <c r="I322" s="300"/>
      <c r="J322" s="302" t="e">
        <f ca="1">IF(J296=0,"",ROUND('R9'!R29/(J269+K269)*'W9'!J269*'W9'!J$247+'R9'!R29/(J269+K269)*'W9'!K269*'W9'!K$247,0))</f>
        <v>#DIV/0!</v>
      </c>
      <c r="K322" s="300"/>
    </row>
    <row r="323" spans="1:11" x14ac:dyDescent="0.2">
      <c r="A323" s="82">
        <f t="shared" si="68"/>
        <v>0</v>
      </c>
      <c r="B323" s="302">
        <f>IF((B270+C270)&lt;&gt;0,ROUND('R9'!N30/'W9'!H199*'W9'!B270*'W9'!$B$247+'R9'!N30/'W9'!H199*'W9'!C270*'W9'!$C$247,0),0)</f>
        <v>0</v>
      </c>
      <c r="C323" s="300"/>
      <c r="D323" s="302" t="e">
        <f ca="1">ROUND('R9'!O30/(D270+E270)*'W9'!D270*'W9'!D$247+'R9'!O30/(D270+E270)*'W9'!E270*'W9'!E$247,0)</f>
        <v>#DIV/0!</v>
      </c>
      <c r="E323" s="300"/>
      <c r="F323" s="302" t="e">
        <f ca="1">ROUND('R9'!P30/(F270+G270)*'W9'!F270*'W9'!F$247+'R9'!P30/(F270+G270)*'W9'!G270*'W9'!G$247,0)</f>
        <v>#DIV/0!</v>
      </c>
      <c r="G323" s="300"/>
      <c r="H323" s="302" t="e">
        <f ca="1">ROUND('R9'!Q30/(H270+I270)*'W9'!H270*'W9'!H$247+'R9'!Q30/(H270+I270)*'W9'!I270*'W9'!I$247,0)</f>
        <v>#DIV/0!</v>
      </c>
      <c r="I323" s="300"/>
      <c r="J323" s="302" t="e">
        <f ca="1">IF(J297=0,"",ROUND('R9'!R30/(J270+K270)*'W9'!J270*'W9'!J$247+'R9'!R30/(J270+K270)*'W9'!K270*'W9'!K$247,0))</f>
        <v>#DIV/0!</v>
      </c>
      <c r="K323" s="300"/>
    </row>
    <row r="324" spans="1:11" x14ac:dyDescent="0.2">
      <c r="A324" s="82">
        <f t="shared" si="68"/>
        <v>0</v>
      </c>
      <c r="B324" s="302">
        <f>IF((B271+C271)&lt;&gt;0,ROUND('R9'!N31/'W9'!H200*'W9'!B271*'W9'!$B$247+'R9'!N31/'W9'!H200*'W9'!C271*'W9'!$C$247,0),0)</f>
        <v>0</v>
      </c>
      <c r="C324" s="300"/>
      <c r="D324" s="302" t="e">
        <f ca="1">ROUND('R9'!O31/(D271+E271)*'W9'!D271*'W9'!D$247+'R9'!O31/(D271+E271)*'W9'!E271*'W9'!E$247,0)</f>
        <v>#DIV/0!</v>
      </c>
      <c r="E324" s="300"/>
      <c r="F324" s="302" t="e">
        <f ca="1">ROUND('R9'!P31/(F271+G271)*'W9'!F271*'W9'!F$247+'R9'!P31/(F271+G271)*'W9'!G271*'W9'!G$247,0)</f>
        <v>#DIV/0!</v>
      </c>
      <c r="G324" s="300"/>
      <c r="H324" s="302" t="e">
        <f ca="1">ROUND('R9'!Q31/(H271+I271)*'W9'!H271*'W9'!H$247+'R9'!Q31/(H271+I271)*'W9'!I271*'W9'!I$247,0)</f>
        <v>#DIV/0!</v>
      </c>
      <c r="I324" s="300"/>
      <c r="J324" s="302" t="e">
        <f ca="1">IF(J298=0,"",ROUND('R9'!R31/(J271+K271)*'W9'!J271*'W9'!J$247+'R9'!R31/(J271+K271)*'W9'!K271*'W9'!K$247,0))</f>
        <v>#DIV/0!</v>
      </c>
      <c r="K324" s="300"/>
    </row>
    <row r="327" spans="1:11" x14ac:dyDescent="0.2">
      <c r="A327" s="80" t="s">
        <v>181</v>
      </c>
      <c r="B327" s="301" t="s">
        <v>134</v>
      </c>
      <c r="C327" s="301"/>
      <c r="D327" s="301" t="s">
        <v>135</v>
      </c>
      <c r="E327" s="301"/>
      <c r="F327" s="301" t="s">
        <v>136</v>
      </c>
      <c r="G327" s="301"/>
      <c r="H327" s="301" t="s">
        <v>139</v>
      </c>
      <c r="I327" s="301"/>
      <c r="J327" s="301" t="s">
        <v>137</v>
      </c>
      <c r="K327" s="301"/>
    </row>
    <row r="328" spans="1:11" x14ac:dyDescent="0.2">
      <c r="A328" s="82">
        <f>'P9'!B3</f>
        <v>0</v>
      </c>
      <c r="B328" s="302">
        <f ca="1">IF('W9'!$C$5=0,"",IF(AND('R9'!$S$4="Multi",'R9'!$R$4="FY"),ROUND(((1+'R9'!$M8)^'W9'!$B$20*'W9'!$C$9+(1+'R9'!$M8)^('W9'!$B$20+1)*'W9'!$C$10)/('W9'!$C$5)*'R9'!$E8,0),(IF(AND('R9'!$S$4="Multi",'R9'!$R$4="PY"),ROUND('R9'!$E8/('W9'!$C$5)*'W9'!$C$5,0),(IF(AND('R9'!$S$4&lt;&gt;"Multi",'R9'!$R$4="FY"),ROUND(((1+'R9'!$S$4)^'W9'!$B$20*'W9'!$C$9+(1+'R9'!$S$4)^('W9'!$B$20+1)*'W9'!$C$10)/'W9'!$C$5*'R9'!$E8,0),ROUND('R9'!$E8/'W9'!$C$5*'W9'!$C$5,0)))))))</f>
        <v>0</v>
      </c>
      <c r="C328" s="300"/>
      <c r="D328" s="302">
        <f ca="1">IF('W9'!$D$5=0,"",IF($C$4=$D$4,(IF(AND('R9'!$S$4="Multi",'R9'!$R$4="FY"),ROUND(((1+'R9'!$M8)^('W9'!$B$20)*'W9'!$D$9+(1+'R9'!$M8)^('W9'!$B$20+1)*'W9'!$D$10)/'W9'!$D$5*'R9'!$E8,0),(IF(AND('R9'!$S$4="Multi",'R9'!$R$4="PY"),ROUND('R9'!$E8*(1+'R9'!$M8)/'W9'!$D$5*'W9'!$D$5,0),(IF(AND('R9'!$S$4&lt;&gt;"Multi",'R9'!$R$4="FY"),ROUND(((1+'R9'!$S$4)^('W9'!$B$20)*'W9'!$D$9+(1+'R9'!$S$4)^('W9'!$B$20+1)*'W9'!$D$10)/'W9'!$D$5*'R9'!$E8,0),ROUND('R9'!$E8*(1+'R9'!$S$4)/'W9'!$D$5*'W9'!$D$5,0))))))),(IF(AND('R9'!$S$4="Multi",'R9'!$R$4="FY"),ROUND(((1+'R9'!$M8)^('W9'!$B$20+1)*'W9'!$D$9+(1+'R9'!$M8)^('W9'!$B$20+2)*'W9'!$D$10)/'W9'!$D$5*'R9'!$E8,0),(IF(AND('R9'!$S$4="Multi",'R9'!$R$4="PY"),ROUND('R9'!$E8*(1+'R9'!$M8)/'W9'!$D$5*'W9'!$D$5,0),(IF(AND('R9'!$S$4&lt;&gt;"Multi",'R9'!$R$4="FY"),ROUND(((1+'R9'!$S$4)^('W9'!$B$20+1)*'W9'!$D$9+(1+'R9'!$S$4)^('W9'!$B$20+2)*'W9'!$D$10)/'W9'!$D$5*'R9'!$E8,0),ROUND('R9'!$E8*(1+'R9'!$S$4)/'W9'!$D$5*'W9'!$D$5,0)))))))))</f>
        <v>0</v>
      </c>
      <c r="E328" s="300"/>
      <c r="F328" s="302">
        <f ca="1">IF('W9'!$E$5=0,"",IF($C$4=$D$4,(IF(AND('R9'!$S$4="Multi",'R9'!$R$4="FY"),ROUND(((1+'R9'!$M8)^('W9'!$B$20+1)*'W9'!$E$9+(1+'R9'!$M8)^('W9'!$B$20+3)*'W9'!$E$10)/'W9'!$E$5*'R9'!$E8,0),(IF(AND('R9'!$S$4="Multi",'R9'!$R$4="PY"),ROUND('R9'!$E8*((1+'R9'!$M8)^2)/'W9'!$E$5*'W9'!$E$5,0),(IF(AND('R9'!$S$4&lt;&gt;"Multi",'R9'!$R$4="FY"),ROUND(((1+'R9'!$S$4)^('W9'!$B$20+1)*'W9'!$E$9+(1+'R9'!$S$4)^('W9'!$B$20+2)*'W9'!$E$10)/'W9'!$E$5*'R9'!$E8,0),ROUND('R9'!$E8*((1+'R9'!$S$4)^2)/'W9'!$E$5*'W9'!$E$5,0))))))),(IF(AND('R9'!$S$4="Multi",'R9'!$R$4="FY"),ROUND(((1+'R9'!$M8)^('W9'!$B$20+2)*'W9'!$E$9+(1+'R9'!$M8)^('W9'!$B$20+3)*'W9'!$E$10)/'W9'!$E$5*'R9'!$E8,0),(IF(AND('R9'!$S$4="Multi",'R9'!$R$4="PY"),ROUND('R9'!$E8*((1+'R9'!$M8)^2)/'W9'!$E$5*'W9'!$E$5,0),(IF(AND('R9'!$S$4&lt;&gt;"Multi",'R9'!$R$4="FY"),ROUND(((1+'R9'!$S$4)^('W9'!$B$20+2)*'W9'!$E$9+(1+'R9'!$S$4)^('W9'!$B$20+3)*'W9'!$E$10)/'W9'!$E$5*'R9'!$E8,0),ROUND('R9'!$E8*((1+'R9'!$S$4)^2)/'W9'!$E$5*'W9'!$E$5,0)))))))))</f>
        <v>0</v>
      </c>
      <c r="G328" s="300"/>
      <c r="H328" s="302">
        <f ca="1">IF('W9'!$F$5=0,"",IF($C$4=$D$4,(IF(AND('R9'!$S$4="Multi",'R9'!$R$4="FY"),ROUND(((1+'R9'!$M8)^('W9'!$B$20+2)*'W9'!$F$9+(1+'R9'!$M8)^('W9'!$B$20+3)*'W9'!$F$10)/'W9'!$F$5*'R9'!$E8,0),(IF(AND('R9'!$S$4="Multi",'R9'!$R$4="PY"),ROUND('R9'!$E8*((1+'R9'!$M8)^3)/'W9'!$F$5*'W9'!$F$5,0),(IF(AND('R9'!$S$4&lt;&gt;"Multi",'R9'!$R$4="FY"),ROUND(((1+'R9'!$S$4)^('W9'!$B$20+2)*'W9'!$F$9+(1+'R9'!$S$4)^('W9'!$B$20+3)*'W9'!$F$10)/'W9'!$F$5*'R9'!$E8,0),ROUND('R9'!$E8*((1+'R9'!$S$4)^3)/'W9'!$F$5*'W9'!$F$5,0))))))),(IF(AND('R9'!$S$4="Multi",'R9'!$R$4="FY"),ROUND(((1+'R9'!$M8)^('W9'!$B$20+3)*'W9'!$F$9+(1+'R9'!$M8)^('W9'!$B$20+4)*'W9'!$F$10)/'W9'!$F$5*'R9'!$E8,0),(IF(AND('R9'!$S$4="Multi",'R9'!$R$4="PY"),ROUND('R9'!$E8*((1+'R9'!$M8)^3)/'W9'!$F$5*'W9'!$F$5,0),(IF(AND('R9'!$S$4&lt;&gt;"Multi",'R9'!$R$4="FY"),ROUND(((1+'R9'!$S$4)^('W9'!$B$20+3)*'W9'!$F$9+(1+'R9'!$S$4)^('W9'!$B$20+4)*'W9'!$F$10)/'W9'!$F$5*'R9'!$E8,0),ROUND('R9'!$E8*((1+'R9'!$S$4)^3)/'W9'!$F$5*'W9'!$F$5,0)))))))))</f>
        <v>0</v>
      </c>
      <c r="I328" s="300"/>
      <c r="J328" s="302">
        <f ca="1">IF('W9'!$G$5=0,"",IF($C$4=$D$4,(IF(AND('R9'!$S$4="Multi",'R9'!$R$4="FY"),ROUND(((1+'R9'!$M8)^('W9'!$B$20+3)*'W9'!$G$9+(1+'R9'!$M8)^('W9'!$B$20+4)*'W9'!$G$10)/'W9'!$G$5*'R9'!$E8,0),(IF(AND('R9'!$S$4="Multi",'R9'!$R$4="PY"),ROUND('R9'!$E8*((1+'R9'!$M8)^4)/'W9'!$G$5*'W9'!$G$5,0),(IF(AND('R9'!$S$4&lt;&gt;"Multi",'R9'!$R$4="FY"),ROUND(((1+'R9'!$S$4)^('W9'!$B$20+3)*'W9'!$G$9+(1+'R9'!$S$4)^('W9'!$B$20+4)*'W9'!$G$10)/'W9'!$G$5*'R9'!$E8,0),ROUND('R9'!$E8*((1+'R9'!$S$4)^4)/'W9'!$G$5*'W9'!$G$5,0))))))),(IF(AND('R9'!$S$4="Multi",'R9'!$R$4="FY"),ROUND(((1+'R9'!$M8)^('W9'!$B$20+4)*'W9'!$G$9+(1+'R9'!$M8)^('W9'!$B$20+5)*'W9'!$G$10)/'W9'!$G$5*'R9'!$E8,0),(IF(AND('R9'!$S$4="Multi",'R9'!$R$4="PY"),ROUND('R9'!$E8*((1+'R9'!$M8)^4)/'W9'!$G$5*'W9'!$G$5,0),(IF(AND('R9'!$S$4&lt;&gt;"Multi",'R9'!$R$4="FY"),ROUND(((1+'R9'!$S$4)^('W9'!$B$20+4)*'W9'!$G$9+(1+'R9'!$S$4)^('W9'!$B$20+5)*'W9'!$G$10)/'W9'!$G$5*'R9'!$E8,0),ROUND('R9'!$E8*((1+'R9'!$S$4)^4)/'W9'!$G$5*'W9'!$G$5,0)))))))))</f>
        <v>0</v>
      </c>
      <c r="K328" s="300"/>
    </row>
    <row r="329" spans="1:11" x14ac:dyDescent="0.2">
      <c r="A329" s="82">
        <f>'P9'!B4</f>
        <v>0</v>
      </c>
      <c r="B329" s="302">
        <f ca="1">IF('W9'!$C$5=0,"",IF(AND('R9'!$S$4="Multi",'R9'!$R$4="FY"),ROUND(((1+'R9'!$M9)^'W9'!$B$20*'W9'!$C$9+(1+'R9'!$M9)^('W9'!$B$20+1)*'W9'!$C$10)/('W9'!$C$5)*'R9'!$E9,0),(IF(AND('R9'!$S$4="Multi",'R9'!$R$4="PY"),ROUND('R9'!$E9/('W9'!$C$5)*'W9'!$C$5,0),(IF(AND('R9'!$S$4&lt;&gt;"Multi",'R9'!$R$4="FY"),ROUND(((1+'R9'!$S$4)^'W9'!$B$20*'W9'!$C$9+(1+'R9'!$S$4)^('W9'!$B$20+1)*'W9'!$C$10)/'W9'!$C$5*'R9'!$E9,0),ROUND('R9'!$E9/'W9'!$C$5*'W9'!$C$5,0)))))))</f>
        <v>0</v>
      </c>
      <c r="C329" s="300"/>
      <c r="D329" s="302">
        <f ca="1">IF('W9'!$D$5=0,"",IF($C$4=$D$4,(IF(AND('R9'!$S$4="Multi",'R9'!$R$4="FY"),ROUND(((1+'R9'!$M9)^('W9'!$B$20)*'W9'!$D$9+(1+'R9'!$M9)^('W9'!$B$20+1)*'W9'!$D$10)/'W9'!$D$5*'R9'!$E9,0),(IF(AND('R9'!$S$4="Multi",'R9'!$R$4="PY"),ROUND('R9'!$E9*(1+'R9'!$M9)/'W9'!$D$5*'W9'!$D$5,0),(IF(AND('R9'!$S$4&lt;&gt;"Multi",'R9'!$R$4="FY"),ROUND(((1+'R9'!$S$4)^('W9'!$B$20)*'W9'!$D$9+(1+'R9'!$S$4)^('W9'!$B$20+1)*'W9'!$D$10)/'W9'!$D$5*'R9'!$E9,0),ROUND('R9'!$E9*(1+'R9'!$S$4)/'W9'!$D$5*'W9'!$D$5,0))))))),(IF(AND('R9'!$S$4="Multi",'R9'!$R$4="FY"),ROUND(((1+'R9'!$M9)^('W9'!$B$20+1)*'W9'!$D$9+(1+'R9'!$M9)^('W9'!$B$20+2)*'W9'!$D$10)/'W9'!$D$5*'R9'!$E9,0),(IF(AND('R9'!$S$4="Multi",'R9'!$R$4="PY"),ROUND('R9'!$E9*(1+'R9'!$M9)/'W9'!$D$5*'W9'!$D$5,0),(IF(AND('R9'!$S$4&lt;&gt;"Multi",'R9'!$R$4="FY"),ROUND(((1+'R9'!$S$4)^('W9'!$B$20+1)*'W9'!$D$9+(1+'R9'!$S$4)^('W9'!$B$20+2)*'W9'!$D$10)/'W9'!$D$5*'R9'!$E9,0),ROUND('R9'!$E9*(1+'R9'!$S$4)/'W9'!$D$5*'W9'!$D$5,0)))))))))</f>
        <v>0</v>
      </c>
      <c r="E329" s="300"/>
      <c r="F329" s="302">
        <f ca="1">IF('W9'!$E$5=0,"",IF($C$4=$D$4,(IF(AND('R9'!$S$4="Multi",'R9'!$R$4="FY"),ROUND(((1+'R9'!$M9)^('W9'!$B$20+1)*'W9'!$E$9+(1+'R9'!$M9)^('W9'!$B$20+3)*'W9'!$E$10)/'W9'!$E$5*'R9'!$E9,0),(IF(AND('R9'!$S$4="Multi",'R9'!$R$4="PY"),ROUND('R9'!$E9*((1+'R9'!$M9)^2)/'W9'!$E$5*'W9'!$E$5,0),(IF(AND('R9'!$S$4&lt;&gt;"Multi",'R9'!$R$4="FY"),ROUND(((1+'R9'!$S$4)^('W9'!$B$20+1)*'W9'!$E$9+(1+'R9'!$S$4)^('W9'!$B$20+2)*'W9'!$E$10)/'W9'!$E$5*'R9'!$E9,0),ROUND('R9'!$E9*((1+'R9'!$S$4)^2)/'W9'!$E$5*'W9'!$E$5,0))))))),(IF(AND('R9'!$S$4="Multi",'R9'!$R$4="FY"),ROUND(((1+'R9'!$M9)^('W9'!$B$20+2)*'W9'!$E$9+(1+'R9'!$M9)^('W9'!$B$20+3)*'W9'!$E$10)/'W9'!$E$5*'R9'!$E9,0),(IF(AND('R9'!$S$4="Multi",'R9'!$R$4="PY"),ROUND('R9'!$E9*((1+'R9'!$M9)^2)/'W9'!$E$5*'W9'!$E$5,0),(IF(AND('R9'!$S$4&lt;&gt;"Multi",'R9'!$R$4="FY"),ROUND(((1+'R9'!$S$4)^('W9'!$B$20+2)*'W9'!$E$9+(1+'R9'!$S$4)^('W9'!$B$20+3)*'W9'!$E$10)/'W9'!$E$5*'R9'!$E9,0),ROUND('R9'!$E9*((1+'R9'!$S$4)^2)/'W9'!$E$5*'W9'!$E$5,0)))))))))</f>
        <v>0</v>
      </c>
      <c r="G329" s="300"/>
      <c r="H329" s="302">
        <f ca="1">IF('W9'!$F$5=0,"",IF($C$4=$D$4,(IF(AND('R9'!$S$4="Multi",'R9'!$R$4="FY"),ROUND(((1+'R9'!$M9)^('W9'!$B$20+2)*'W9'!$F$9+(1+'R9'!$M9)^('W9'!$B$20+3)*'W9'!$F$10)/'W9'!$F$5*'R9'!$E9,0),(IF(AND('R9'!$S$4="Multi",'R9'!$R$4="PY"),ROUND('R9'!$E9*((1+'R9'!$M9)^3)/'W9'!$F$5*'W9'!$F$5,0),(IF(AND('R9'!$S$4&lt;&gt;"Multi",'R9'!$R$4="FY"),ROUND(((1+'R9'!$S$4)^('W9'!$B$20+2)*'W9'!$F$9+(1+'R9'!$S$4)^('W9'!$B$20+3)*'W9'!$F$10)/'W9'!$F$5*'R9'!$E9,0),ROUND('R9'!$E9*((1+'R9'!$S$4)^3)/'W9'!$F$5*'W9'!$F$5,0))))))),(IF(AND('R9'!$S$4="Multi",'R9'!$R$4="FY"),ROUND(((1+'R9'!$M9)^('W9'!$B$20+3)*'W9'!$F$9+(1+'R9'!$M9)^('W9'!$B$20+4)*'W9'!$F$10)/'W9'!$F$5*'R9'!$E9,0),(IF(AND('R9'!$S$4="Multi",'R9'!$R$4="PY"),ROUND('R9'!$E9*((1+'R9'!$M9)^3)/'W9'!$F$5*'W9'!$F$5,0),(IF(AND('R9'!$S$4&lt;&gt;"Multi",'R9'!$R$4="FY"),ROUND(((1+'R9'!$S$4)^('W9'!$B$20+3)*'W9'!$F$9+(1+'R9'!$S$4)^('W9'!$B$20+4)*'W9'!$F$10)/'W9'!$F$5*'R9'!$E9,0),ROUND('R9'!$E9*((1+'R9'!$S$4)^3)/'W9'!$F$5*'W9'!$F$5,0)))))))))</f>
        <v>0</v>
      </c>
      <c r="I329" s="300"/>
      <c r="J329" s="302">
        <f ca="1">IF('W9'!$G$5=0,"",IF($C$4=$D$4,(IF(AND('R9'!$S$4="Multi",'R9'!$R$4="FY"),ROUND(((1+'R9'!$M9)^('W9'!$B$20+3)*'W9'!$G$9+(1+'R9'!$M9)^('W9'!$B$20+4)*'W9'!$G$10)/'W9'!$G$5*'R9'!$E9,0),(IF(AND('R9'!$S$4="Multi",'R9'!$R$4="PY"),ROUND('R9'!$E9*((1+'R9'!$M9)^4)/'W9'!$G$5*'W9'!$G$5,0),(IF(AND('R9'!$S$4&lt;&gt;"Multi",'R9'!$R$4="FY"),ROUND(((1+'R9'!$S$4)^('W9'!$B$20+3)*'W9'!$G$9+(1+'R9'!$S$4)^('W9'!$B$20+4)*'W9'!$G$10)/'W9'!$G$5*'R9'!$E9,0),ROUND('R9'!$E9*((1+'R9'!$S$4)^4)/'W9'!$G$5*'W9'!$G$5,0))))))),(IF(AND('R9'!$S$4="Multi",'R9'!$R$4="FY"),ROUND(((1+'R9'!$M9)^('W9'!$B$20+4)*'W9'!$G$9+(1+'R9'!$M9)^('W9'!$B$20+5)*'W9'!$G$10)/'W9'!$G$5*'R9'!$E9,0),(IF(AND('R9'!$S$4="Multi",'R9'!$R$4="PY"),ROUND('R9'!$E9*((1+'R9'!$M9)^4)/'W9'!$G$5*'W9'!$G$5,0),(IF(AND('R9'!$S$4&lt;&gt;"Multi",'R9'!$R$4="FY"),ROUND(((1+'R9'!$S$4)^('W9'!$B$20+4)*'W9'!$G$9+(1+'R9'!$S$4)^('W9'!$B$20+5)*'W9'!$G$10)/'W9'!$G$5*'R9'!$E9,0),ROUND('R9'!$E9*((1+'R9'!$S$4)^4)/'W9'!$G$5*'W9'!$G$5,0)))))))))</f>
        <v>0</v>
      </c>
      <c r="K329" s="300"/>
    </row>
    <row r="330" spans="1:11" x14ac:dyDescent="0.2">
      <c r="A330" s="82">
        <f>'P9'!B5</f>
        <v>0</v>
      </c>
      <c r="B330" s="302">
        <f ca="1">IF('W9'!$C$5=0,"",IF(AND('R9'!$S$4="Multi",'R9'!$R$4="FY"),ROUND(((1+'R9'!$M10)^'W9'!$B$20*'W9'!$C$9+(1+'R9'!$M10)^('W9'!$B$20+1)*'W9'!$C$10)/('W9'!$C$5)*'R9'!$E10,0),(IF(AND('R9'!$S$4="Multi",'R9'!$R$4="PY"),ROUND('R9'!$E10/('W9'!$C$5)*'W9'!$C$5,0),(IF(AND('R9'!$S$4&lt;&gt;"Multi",'R9'!$R$4="FY"),ROUND(((1+'R9'!$S$4)^'W9'!$B$20*'W9'!$C$9+(1+'R9'!$S$4)^('W9'!$B$20+1)*'W9'!$C$10)/'W9'!$C$5*'R9'!$E10,0),ROUND('R9'!$E10/'W9'!$C$5*'W9'!$C$5,0)))))))</f>
        <v>0</v>
      </c>
      <c r="C330" s="300"/>
      <c r="D330" s="302">
        <f ca="1">IF('W9'!$D$5=0,"",IF($C$4=$D$4,(IF(AND('R9'!$S$4="Multi",'R9'!$R$4="FY"),ROUND(((1+'R9'!$M10)^('W9'!$B$20)*'W9'!$D$9+(1+'R9'!$M10)^('W9'!$B$20+1)*'W9'!$D$10)/'W9'!$D$5*'R9'!$E10,0),(IF(AND('R9'!$S$4="Multi",'R9'!$R$4="PY"),ROUND('R9'!$E10*(1+'R9'!$M10)/'W9'!$D$5*'W9'!$D$5,0),(IF(AND('R9'!$S$4&lt;&gt;"Multi",'R9'!$R$4="FY"),ROUND(((1+'R9'!$S$4)^('W9'!$B$20)*'W9'!$D$9+(1+'R9'!$S$4)^('W9'!$B$20+1)*'W9'!$D$10)/'W9'!$D$5*'R9'!$E10,0),ROUND('R9'!$E10*(1+'R9'!$S$4)/'W9'!$D$5*'W9'!$D$5,0))))))),(IF(AND('R9'!$S$4="Multi",'R9'!$R$4="FY"),ROUND(((1+'R9'!$M10)^('W9'!$B$20+1)*'W9'!$D$9+(1+'R9'!$M10)^('W9'!$B$20+2)*'W9'!$D$10)/'W9'!$D$5*'R9'!$E10,0),(IF(AND('R9'!$S$4="Multi",'R9'!$R$4="PY"),ROUND('R9'!$E10*(1+'R9'!$M10)/'W9'!$D$5*'W9'!$D$5,0),(IF(AND('R9'!$S$4&lt;&gt;"Multi",'R9'!$R$4="FY"),ROUND(((1+'R9'!$S$4)^('W9'!$B$20+1)*'W9'!$D$9+(1+'R9'!$S$4)^('W9'!$B$20+2)*'W9'!$D$10)/'W9'!$D$5*'R9'!$E10,0),ROUND('R9'!$E10*(1+'R9'!$S$4)/'W9'!$D$5*'W9'!$D$5,0)))))))))</f>
        <v>0</v>
      </c>
      <c r="E330" s="300"/>
      <c r="F330" s="302">
        <f ca="1">IF('W9'!$E$5=0,"",IF($C$4=$D$4,(IF(AND('R9'!$S$4="Multi",'R9'!$R$4="FY"),ROUND(((1+'R9'!$M10)^('W9'!$B$20+1)*'W9'!$E$9+(1+'R9'!$M10)^('W9'!$B$20+3)*'W9'!$E$10)/'W9'!$E$5*'R9'!$E10,0),(IF(AND('R9'!$S$4="Multi",'R9'!$R$4="PY"),ROUND('R9'!$E10*((1+'R9'!$M10)^2)/'W9'!$E$5*'W9'!$E$5,0),(IF(AND('R9'!$S$4&lt;&gt;"Multi",'R9'!$R$4="FY"),ROUND(((1+'R9'!$S$4)^('W9'!$B$20+1)*'W9'!$E$9+(1+'R9'!$S$4)^('W9'!$B$20+2)*'W9'!$E$10)/'W9'!$E$5*'R9'!$E10,0),ROUND('R9'!$E10*((1+'R9'!$S$4)^2)/'W9'!$E$5*'W9'!$E$5,0))))))),(IF(AND('R9'!$S$4="Multi",'R9'!$R$4="FY"),ROUND(((1+'R9'!$M10)^('W9'!$B$20+2)*'W9'!$E$9+(1+'R9'!$M10)^('W9'!$B$20+3)*'W9'!$E$10)/'W9'!$E$5*'R9'!$E10,0),(IF(AND('R9'!$S$4="Multi",'R9'!$R$4="PY"),ROUND('R9'!$E10*((1+'R9'!$M10)^2)/'W9'!$E$5*'W9'!$E$5,0),(IF(AND('R9'!$S$4&lt;&gt;"Multi",'R9'!$R$4="FY"),ROUND(((1+'R9'!$S$4)^('W9'!$B$20+2)*'W9'!$E$9+(1+'R9'!$S$4)^('W9'!$B$20+3)*'W9'!$E$10)/'W9'!$E$5*'R9'!$E10,0),ROUND('R9'!$E10*((1+'R9'!$S$4)^2)/'W9'!$E$5*'W9'!$E$5,0)))))))))</f>
        <v>0</v>
      </c>
      <c r="G330" s="300"/>
      <c r="H330" s="302">
        <f ca="1">IF('W9'!$F$5=0,"",IF($C$4=$D$4,(IF(AND('R9'!$S$4="Multi",'R9'!$R$4="FY"),ROUND(((1+'R9'!$M10)^('W9'!$B$20+2)*'W9'!$F$9+(1+'R9'!$M10)^('W9'!$B$20+3)*'W9'!$F$10)/'W9'!$F$5*'R9'!$E10,0),(IF(AND('R9'!$S$4="Multi",'R9'!$R$4="PY"),ROUND('R9'!$E10*((1+'R9'!$M10)^3)/'W9'!$F$5*'W9'!$F$5,0),(IF(AND('R9'!$S$4&lt;&gt;"Multi",'R9'!$R$4="FY"),ROUND(((1+'R9'!$S$4)^('W9'!$B$20+2)*'W9'!$F$9+(1+'R9'!$S$4)^('W9'!$B$20+3)*'W9'!$F$10)/'W9'!$F$5*'R9'!$E10,0),ROUND('R9'!$E10*((1+'R9'!$S$4)^3)/'W9'!$F$5*'W9'!$F$5,0))))))),(IF(AND('R9'!$S$4="Multi",'R9'!$R$4="FY"),ROUND(((1+'R9'!$M10)^('W9'!$B$20+3)*'W9'!$F$9+(1+'R9'!$M10)^('W9'!$B$20+4)*'W9'!$F$10)/'W9'!$F$5*'R9'!$E10,0),(IF(AND('R9'!$S$4="Multi",'R9'!$R$4="PY"),ROUND('R9'!$E10*((1+'R9'!$M10)^3)/'W9'!$F$5*'W9'!$F$5,0),(IF(AND('R9'!$S$4&lt;&gt;"Multi",'R9'!$R$4="FY"),ROUND(((1+'R9'!$S$4)^('W9'!$B$20+3)*'W9'!$F$9+(1+'R9'!$S$4)^('W9'!$B$20+4)*'W9'!$F$10)/'W9'!$F$5*'R9'!$E10,0),ROUND('R9'!$E10*((1+'R9'!$S$4)^3)/'W9'!$F$5*'W9'!$F$5,0)))))))))</f>
        <v>0</v>
      </c>
      <c r="I330" s="300"/>
      <c r="J330" s="302">
        <f ca="1">IF('W9'!$G$5=0,"",IF($C$4=$D$4,(IF(AND('R9'!$S$4="Multi",'R9'!$R$4="FY"),ROUND(((1+'R9'!$M10)^('W9'!$B$20+3)*'W9'!$G$9+(1+'R9'!$M10)^('W9'!$B$20+4)*'W9'!$G$10)/'W9'!$G$5*'R9'!$E10,0),(IF(AND('R9'!$S$4="Multi",'R9'!$R$4="PY"),ROUND('R9'!$E10*((1+'R9'!$M10)^4)/'W9'!$G$5*'W9'!$G$5,0),(IF(AND('R9'!$S$4&lt;&gt;"Multi",'R9'!$R$4="FY"),ROUND(((1+'R9'!$S$4)^('W9'!$B$20+3)*'W9'!$G$9+(1+'R9'!$S$4)^('W9'!$B$20+4)*'W9'!$G$10)/'W9'!$G$5*'R9'!$E10,0),ROUND('R9'!$E10*((1+'R9'!$S$4)^4)/'W9'!$G$5*'W9'!$G$5,0))))))),(IF(AND('R9'!$S$4="Multi",'R9'!$R$4="FY"),ROUND(((1+'R9'!$M10)^('W9'!$B$20+4)*'W9'!$G$9+(1+'R9'!$M10)^('W9'!$B$20+5)*'W9'!$G$10)/'W9'!$G$5*'R9'!$E10,0),(IF(AND('R9'!$S$4="Multi",'R9'!$R$4="PY"),ROUND('R9'!$E10*((1+'R9'!$M10)^4)/'W9'!$G$5*'W9'!$G$5,0),(IF(AND('R9'!$S$4&lt;&gt;"Multi",'R9'!$R$4="FY"),ROUND(((1+'R9'!$S$4)^('W9'!$B$20+4)*'W9'!$G$9+(1+'R9'!$S$4)^('W9'!$B$20+5)*'W9'!$G$10)/'W9'!$G$5*'R9'!$E10,0),ROUND('R9'!$E10*((1+'R9'!$S$4)^4)/'W9'!$G$5*'W9'!$G$5,0)))))))))</f>
        <v>0</v>
      </c>
      <c r="K330" s="300"/>
    </row>
    <row r="331" spans="1:11" x14ac:dyDescent="0.2">
      <c r="A331" s="82">
        <f>'P9'!B6</f>
        <v>0</v>
      </c>
      <c r="B331" s="302">
        <f ca="1">IF('W9'!$C$5=0,"",IF(AND('R9'!$S$4="Multi",'R9'!$R$4="FY"),ROUND(((1+'R9'!$M11)^'W9'!$B$20*'W9'!$C$9+(1+'R9'!$M11)^('W9'!$B$20+1)*'W9'!$C$10)/('W9'!$C$5)*'R9'!$E11,0),(IF(AND('R9'!$S$4="Multi",'R9'!$R$4="PY"),ROUND('R9'!$E11/('W9'!$C$5)*'W9'!$C$5,0),(IF(AND('R9'!$S$4&lt;&gt;"Multi",'R9'!$R$4="FY"),ROUND(((1+'R9'!$S$4)^'W9'!$B$20*'W9'!$C$9+(1+'R9'!$S$4)^('W9'!$B$20+1)*'W9'!$C$10)/'W9'!$C$5*'R9'!$E11,0),ROUND('R9'!$E11/'W9'!$C$5*'W9'!$C$5,0)))))))</f>
        <v>0</v>
      </c>
      <c r="C331" s="300"/>
      <c r="D331" s="302">
        <f ca="1">IF('W9'!$D$5=0,"",IF($C$4=$D$4,(IF(AND('R9'!$S$4="Multi",'R9'!$R$4="FY"),ROUND(((1+'R9'!$M11)^('W9'!$B$20)*'W9'!$D$9+(1+'R9'!$M11)^('W9'!$B$20+1)*'W9'!$D$10)/'W9'!$D$5*'R9'!$E11,0),(IF(AND('R9'!$S$4="Multi",'R9'!$R$4="PY"),ROUND('R9'!$E11*(1+'R9'!$M11)/'W9'!$D$5*'W9'!$D$5,0),(IF(AND('R9'!$S$4&lt;&gt;"Multi",'R9'!$R$4="FY"),ROUND(((1+'R9'!$S$4)^('W9'!$B$20)*'W9'!$D$9+(1+'R9'!$S$4)^('W9'!$B$20+1)*'W9'!$D$10)/'W9'!$D$5*'R9'!$E11,0),ROUND('R9'!$E11*(1+'R9'!$S$4)/'W9'!$D$5*'W9'!$D$5,0))))))),(IF(AND('R9'!$S$4="Multi",'R9'!$R$4="FY"),ROUND(((1+'R9'!$M11)^('W9'!$B$20+1)*'W9'!$D$9+(1+'R9'!$M11)^('W9'!$B$20+2)*'W9'!$D$10)/'W9'!$D$5*'R9'!$E11,0),(IF(AND('R9'!$S$4="Multi",'R9'!$R$4="PY"),ROUND('R9'!$E11*(1+'R9'!$M11)/'W9'!$D$5*'W9'!$D$5,0),(IF(AND('R9'!$S$4&lt;&gt;"Multi",'R9'!$R$4="FY"),ROUND(((1+'R9'!$S$4)^('W9'!$B$20+1)*'W9'!$D$9+(1+'R9'!$S$4)^('W9'!$B$20+2)*'W9'!$D$10)/'W9'!$D$5*'R9'!$E11,0),ROUND('R9'!$E11*(1+'R9'!$S$4)/'W9'!$D$5*'W9'!$D$5,0)))))))))</f>
        <v>0</v>
      </c>
      <c r="E331" s="300"/>
      <c r="F331" s="302">
        <f ca="1">IF('W9'!$E$5=0,"",IF($C$4=$D$4,(IF(AND('R9'!$S$4="Multi",'R9'!$R$4="FY"),ROUND(((1+'R9'!$M11)^('W9'!$B$20+1)*'W9'!$E$9+(1+'R9'!$M11)^('W9'!$B$20+3)*'W9'!$E$10)/'W9'!$E$5*'R9'!$E11,0),(IF(AND('R9'!$S$4="Multi",'R9'!$R$4="PY"),ROUND('R9'!$E11*((1+'R9'!$M11)^2)/'W9'!$E$5*'W9'!$E$5,0),(IF(AND('R9'!$S$4&lt;&gt;"Multi",'R9'!$R$4="FY"),ROUND(((1+'R9'!$S$4)^('W9'!$B$20+1)*'W9'!$E$9+(1+'R9'!$S$4)^('W9'!$B$20+2)*'W9'!$E$10)/'W9'!$E$5*'R9'!$E11,0),ROUND('R9'!$E11*((1+'R9'!$S$4)^2)/'W9'!$E$5*'W9'!$E$5,0))))))),(IF(AND('R9'!$S$4="Multi",'R9'!$R$4="FY"),ROUND(((1+'R9'!$M11)^('W9'!$B$20+2)*'W9'!$E$9+(1+'R9'!$M11)^('W9'!$B$20+3)*'W9'!$E$10)/'W9'!$E$5*'R9'!$E11,0),(IF(AND('R9'!$S$4="Multi",'R9'!$R$4="PY"),ROUND('R9'!$E11*((1+'R9'!$M11)^2)/'W9'!$E$5*'W9'!$E$5,0),(IF(AND('R9'!$S$4&lt;&gt;"Multi",'R9'!$R$4="FY"),ROUND(((1+'R9'!$S$4)^('W9'!$B$20+2)*'W9'!$E$9+(1+'R9'!$S$4)^('W9'!$B$20+3)*'W9'!$E$10)/'W9'!$E$5*'R9'!$E11,0),ROUND('R9'!$E11*((1+'R9'!$S$4)^2)/'W9'!$E$5*'W9'!$E$5,0)))))))))</f>
        <v>0</v>
      </c>
      <c r="G331" s="300"/>
      <c r="H331" s="302">
        <f ca="1">IF('W9'!$F$5=0,"",IF($C$4=$D$4,(IF(AND('R9'!$S$4="Multi",'R9'!$R$4="FY"),ROUND(((1+'R9'!$M11)^('W9'!$B$20+2)*'W9'!$F$9+(1+'R9'!$M11)^('W9'!$B$20+3)*'W9'!$F$10)/'W9'!$F$5*'R9'!$E11,0),(IF(AND('R9'!$S$4="Multi",'R9'!$R$4="PY"),ROUND('R9'!$E11*((1+'R9'!$M11)^3)/'W9'!$F$5*'W9'!$F$5,0),(IF(AND('R9'!$S$4&lt;&gt;"Multi",'R9'!$R$4="FY"),ROUND(((1+'R9'!$S$4)^('W9'!$B$20+2)*'W9'!$F$9+(1+'R9'!$S$4)^('W9'!$B$20+3)*'W9'!$F$10)/'W9'!$F$5*'R9'!$E11,0),ROUND('R9'!$E11*((1+'R9'!$S$4)^3)/'W9'!$F$5*'W9'!$F$5,0))))))),(IF(AND('R9'!$S$4="Multi",'R9'!$R$4="FY"),ROUND(((1+'R9'!$M11)^('W9'!$B$20+3)*'W9'!$F$9+(1+'R9'!$M11)^('W9'!$B$20+4)*'W9'!$F$10)/'W9'!$F$5*'R9'!$E11,0),(IF(AND('R9'!$S$4="Multi",'R9'!$R$4="PY"),ROUND('R9'!$E11*((1+'R9'!$M11)^3)/'W9'!$F$5*'W9'!$F$5,0),(IF(AND('R9'!$S$4&lt;&gt;"Multi",'R9'!$R$4="FY"),ROUND(((1+'R9'!$S$4)^('W9'!$B$20+3)*'W9'!$F$9+(1+'R9'!$S$4)^('W9'!$B$20+4)*'W9'!$F$10)/'W9'!$F$5*'R9'!$E11,0),ROUND('R9'!$E11*((1+'R9'!$S$4)^3)/'W9'!$F$5*'W9'!$F$5,0)))))))))</f>
        <v>0</v>
      </c>
      <c r="I331" s="300"/>
      <c r="J331" s="302">
        <f ca="1">IF('W9'!$G$5=0,"",IF($C$4=$D$4,(IF(AND('R9'!$S$4="Multi",'R9'!$R$4="FY"),ROUND(((1+'R9'!$M11)^('W9'!$B$20+3)*'W9'!$G$9+(1+'R9'!$M11)^('W9'!$B$20+4)*'W9'!$G$10)/'W9'!$G$5*'R9'!$E11,0),(IF(AND('R9'!$S$4="Multi",'R9'!$R$4="PY"),ROUND('R9'!$E11*((1+'R9'!$M11)^4)/'W9'!$G$5*'W9'!$G$5,0),(IF(AND('R9'!$S$4&lt;&gt;"Multi",'R9'!$R$4="FY"),ROUND(((1+'R9'!$S$4)^('W9'!$B$20+3)*'W9'!$G$9+(1+'R9'!$S$4)^('W9'!$B$20+4)*'W9'!$G$10)/'W9'!$G$5*'R9'!$E11,0),ROUND('R9'!$E11*((1+'R9'!$S$4)^4)/'W9'!$G$5*'W9'!$G$5,0))))))),(IF(AND('R9'!$S$4="Multi",'R9'!$R$4="FY"),ROUND(((1+'R9'!$M11)^('W9'!$B$20+4)*'W9'!$G$9+(1+'R9'!$M11)^('W9'!$B$20+5)*'W9'!$G$10)/'W9'!$G$5*'R9'!$E11,0),(IF(AND('R9'!$S$4="Multi",'R9'!$R$4="PY"),ROUND('R9'!$E11*((1+'R9'!$M11)^4)/'W9'!$G$5*'W9'!$G$5,0),(IF(AND('R9'!$S$4&lt;&gt;"Multi",'R9'!$R$4="FY"),ROUND(((1+'R9'!$S$4)^('W9'!$B$20+4)*'W9'!$G$9+(1+'R9'!$S$4)^('W9'!$B$20+5)*'W9'!$G$10)/'W9'!$G$5*'R9'!$E11,0),ROUND('R9'!$E11*((1+'R9'!$S$4)^4)/'W9'!$G$5*'W9'!$G$5,0)))))))))</f>
        <v>0</v>
      </c>
      <c r="K331" s="300"/>
    </row>
    <row r="332" spans="1:11" x14ac:dyDescent="0.2">
      <c r="A332" s="82">
        <f>'P9'!B7</f>
        <v>0</v>
      </c>
      <c r="B332" s="302">
        <f ca="1">IF('W9'!$C$5=0,"",IF(AND('R9'!$S$4="Multi",'R9'!$R$4="FY"),ROUND(((1+'R9'!$M12)^'W9'!$B$20*'W9'!$C$9+(1+'R9'!$M12)^('W9'!$B$20+1)*'W9'!$C$10)/('W9'!$C$5)*'R9'!$E12,0),(IF(AND('R9'!$S$4="Multi",'R9'!$R$4="PY"),ROUND('R9'!$E12/('W9'!$C$5)*'W9'!$C$5,0),(IF(AND('R9'!$S$4&lt;&gt;"Multi",'R9'!$R$4="FY"),ROUND(((1+'R9'!$S$4)^'W9'!$B$20*'W9'!$C$9+(1+'R9'!$S$4)^('W9'!$B$20+1)*'W9'!$C$10)/'W9'!$C$5*'R9'!$E12,0),ROUND('R9'!$E12/'W9'!$C$5*'W9'!$C$5,0)))))))</f>
        <v>0</v>
      </c>
      <c r="C332" s="300"/>
      <c r="D332" s="302">
        <f ca="1">IF('W9'!$D$5=0,"",IF($C$4=$D$4,(IF(AND('R9'!$S$4="Multi",'R9'!$R$4="FY"),ROUND(((1+'R9'!$M12)^('W9'!$B$20)*'W9'!$D$9+(1+'R9'!$M12)^('W9'!$B$20+1)*'W9'!$D$10)/'W9'!$D$5*'R9'!$E12,0),(IF(AND('R9'!$S$4="Multi",'R9'!$R$4="PY"),ROUND('R9'!$E12*(1+'R9'!$M12)/'W9'!$D$5*'W9'!$D$5,0),(IF(AND('R9'!$S$4&lt;&gt;"Multi",'R9'!$R$4="FY"),ROUND(((1+'R9'!$S$4)^('W9'!$B$20)*'W9'!$D$9+(1+'R9'!$S$4)^('W9'!$B$20+1)*'W9'!$D$10)/'W9'!$D$5*'R9'!$E12,0),ROUND('R9'!$E12*(1+'R9'!$S$4)/'W9'!$D$5*'W9'!$D$5,0))))))),(IF(AND('R9'!$S$4="Multi",'R9'!$R$4="FY"),ROUND(((1+'R9'!$M12)^('W9'!$B$20+1)*'W9'!$D$9+(1+'R9'!$M12)^('W9'!$B$20+2)*'W9'!$D$10)/'W9'!$D$5*'R9'!$E12,0),(IF(AND('R9'!$S$4="Multi",'R9'!$R$4="PY"),ROUND('R9'!$E12*(1+'R9'!$M12)/'W9'!$D$5*'W9'!$D$5,0),(IF(AND('R9'!$S$4&lt;&gt;"Multi",'R9'!$R$4="FY"),ROUND(((1+'R9'!$S$4)^('W9'!$B$20+1)*'W9'!$D$9+(1+'R9'!$S$4)^('W9'!$B$20+2)*'W9'!$D$10)/'W9'!$D$5*'R9'!$E12,0),ROUND('R9'!$E12*(1+'R9'!$S$4)/'W9'!$D$5*'W9'!$D$5,0)))))))))</f>
        <v>0</v>
      </c>
      <c r="E332" s="300"/>
      <c r="F332" s="302">
        <f ca="1">IF('W9'!$E$5=0,"",IF($C$4=$D$4,(IF(AND('R9'!$S$4="Multi",'R9'!$R$4="FY"),ROUND(((1+'R9'!$M12)^('W9'!$B$20+1)*'W9'!$E$9+(1+'R9'!$M12)^('W9'!$B$20+3)*'W9'!$E$10)/'W9'!$E$5*'R9'!$E12,0),(IF(AND('R9'!$S$4="Multi",'R9'!$R$4="PY"),ROUND('R9'!$E12*((1+'R9'!$M12)^2)/'W9'!$E$5*'W9'!$E$5,0),(IF(AND('R9'!$S$4&lt;&gt;"Multi",'R9'!$R$4="FY"),ROUND(((1+'R9'!$S$4)^('W9'!$B$20+1)*'W9'!$E$9+(1+'R9'!$S$4)^('W9'!$B$20+2)*'W9'!$E$10)/'W9'!$E$5*'R9'!$E12,0),ROUND('R9'!$E12*((1+'R9'!$S$4)^2)/'W9'!$E$5*'W9'!$E$5,0))))))),(IF(AND('R9'!$S$4="Multi",'R9'!$R$4="FY"),ROUND(((1+'R9'!$M12)^('W9'!$B$20+2)*'W9'!$E$9+(1+'R9'!$M12)^('W9'!$B$20+3)*'W9'!$E$10)/'W9'!$E$5*'R9'!$E12,0),(IF(AND('R9'!$S$4="Multi",'R9'!$R$4="PY"),ROUND('R9'!$E12*((1+'R9'!$M12)^2)/'W9'!$E$5*'W9'!$E$5,0),(IF(AND('R9'!$S$4&lt;&gt;"Multi",'R9'!$R$4="FY"),ROUND(((1+'R9'!$S$4)^('W9'!$B$20+2)*'W9'!$E$9+(1+'R9'!$S$4)^('W9'!$B$20+3)*'W9'!$E$10)/'W9'!$E$5*'R9'!$E12,0),ROUND('R9'!$E12*((1+'R9'!$S$4)^2)/'W9'!$E$5*'W9'!$E$5,0)))))))))</f>
        <v>0</v>
      </c>
      <c r="G332" s="300"/>
      <c r="H332" s="302">
        <f ca="1">IF('W9'!$F$5=0,"",IF($C$4=$D$4,(IF(AND('R9'!$S$4="Multi",'R9'!$R$4="FY"),ROUND(((1+'R9'!$M12)^('W9'!$B$20+2)*'W9'!$F$9+(1+'R9'!$M12)^('W9'!$B$20+3)*'W9'!$F$10)/'W9'!$F$5*'R9'!$E12,0),(IF(AND('R9'!$S$4="Multi",'R9'!$R$4="PY"),ROUND('R9'!$E12*((1+'R9'!$M12)^3)/'W9'!$F$5*'W9'!$F$5,0),(IF(AND('R9'!$S$4&lt;&gt;"Multi",'R9'!$R$4="FY"),ROUND(((1+'R9'!$S$4)^('W9'!$B$20+2)*'W9'!$F$9+(1+'R9'!$S$4)^('W9'!$B$20+3)*'W9'!$F$10)/'W9'!$F$5*'R9'!$E12,0),ROUND('R9'!$E12*((1+'R9'!$S$4)^3)/'W9'!$F$5*'W9'!$F$5,0))))))),(IF(AND('R9'!$S$4="Multi",'R9'!$R$4="FY"),ROUND(((1+'R9'!$M12)^('W9'!$B$20+3)*'W9'!$F$9+(1+'R9'!$M12)^('W9'!$B$20+4)*'W9'!$F$10)/'W9'!$F$5*'R9'!$E12,0),(IF(AND('R9'!$S$4="Multi",'R9'!$R$4="PY"),ROUND('R9'!$E12*((1+'R9'!$M12)^3)/'W9'!$F$5*'W9'!$F$5,0),(IF(AND('R9'!$S$4&lt;&gt;"Multi",'R9'!$R$4="FY"),ROUND(((1+'R9'!$S$4)^('W9'!$B$20+3)*'W9'!$F$9+(1+'R9'!$S$4)^('W9'!$B$20+4)*'W9'!$F$10)/'W9'!$F$5*'R9'!$E12,0),ROUND('R9'!$E12*((1+'R9'!$S$4)^3)/'W9'!$F$5*'W9'!$F$5,0)))))))))</f>
        <v>0</v>
      </c>
      <c r="I332" s="300"/>
      <c r="J332" s="302">
        <f ca="1">IF('W9'!$G$5=0,"",IF($C$4=$D$4,(IF(AND('R9'!$S$4="Multi",'R9'!$R$4="FY"),ROUND(((1+'R9'!$M12)^('W9'!$B$20+3)*'W9'!$G$9+(1+'R9'!$M12)^('W9'!$B$20+4)*'W9'!$G$10)/'W9'!$G$5*'R9'!$E12,0),(IF(AND('R9'!$S$4="Multi",'R9'!$R$4="PY"),ROUND('R9'!$E12*((1+'R9'!$M12)^4)/'W9'!$G$5*'W9'!$G$5,0),(IF(AND('R9'!$S$4&lt;&gt;"Multi",'R9'!$R$4="FY"),ROUND(((1+'R9'!$S$4)^('W9'!$B$20+3)*'W9'!$G$9+(1+'R9'!$S$4)^('W9'!$B$20+4)*'W9'!$G$10)/'W9'!$G$5*'R9'!$E12,0),ROUND('R9'!$E12*((1+'R9'!$S$4)^4)/'W9'!$G$5*'W9'!$G$5,0))))))),(IF(AND('R9'!$S$4="Multi",'R9'!$R$4="FY"),ROUND(((1+'R9'!$M12)^('W9'!$B$20+4)*'W9'!$G$9+(1+'R9'!$M12)^('W9'!$B$20+5)*'W9'!$G$10)/'W9'!$G$5*'R9'!$E12,0),(IF(AND('R9'!$S$4="Multi",'R9'!$R$4="PY"),ROUND('R9'!$E12*((1+'R9'!$M12)^4)/'W9'!$G$5*'W9'!$G$5,0),(IF(AND('R9'!$S$4&lt;&gt;"Multi",'R9'!$R$4="FY"),ROUND(((1+'R9'!$S$4)^('W9'!$B$20+4)*'W9'!$G$9+(1+'R9'!$S$4)^('W9'!$B$20+5)*'W9'!$G$10)/'W9'!$G$5*'R9'!$E12,0),ROUND('R9'!$E12*((1+'R9'!$S$4)^4)/'W9'!$G$5*'W9'!$G$5,0)))))))))</f>
        <v>0</v>
      </c>
      <c r="K332" s="300"/>
    </row>
    <row r="333" spans="1:11" x14ac:dyDescent="0.2">
      <c r="A333" s="82">
        <f>'P9'!B8</f>
        <v>0</v>
      </c>
      <c r="B333" s="302">
        <f ca="1">IF('W9'!$C$5=0,"",IF(AND('R9'!$S$4="Multi",'R9'!$R$4="FY"),ROUND(((1+'R9'!$M13)^'W9'!$B$20*'W9'!$C$9+(1+'R9'!$M13)^('W9'!$B$20+1)*'W9'!$C$10)/('W9'!$C$5)*'R9'!$E13,0),(IF(AND('R9'!$S$4="Multi",'R9'!$R$4="PY"),ROUND('R9'!$E13/('W9'!$C$5)*'W9'!$C$5,0),(IF(AND('R9'!$S$4&lt;&gt;"Multi",'R9'!$R$4="FY"),ROUND(((1+'R9'!$S$4)^'W9'!$B$20*'W9'!$C$9+(1+'R9'!$S$4)^('W9'!$B$20+1)*'W9'!$C$10)/'W9'!$C$5*'R9'!$E13,0),ROUND('R9'!$E13/'W9'!$C$5*'W9'!$C$5,0)))))))</f>
        <v>0</v>
      </c>
      <c r="C333" s="300"/>
      <c r="D333" s="302">
        <f ca="1">IF('W9'!$D$5=0,"",IF($C$4=$D$4,(IF(AND('R9'!$S$4="Multi",'R9'!$R$4="FY"),ROUND(((1+'R9'!$M13)^('W9'!$B$20)*'W9'!$D$9+(1+'R9'!$M13)^('W9'!$B$20+1)*'W9'!$D$10)/'W9'!$D$5*'R9'!$E13,0),(IF(AND('R9'!$S$4="Multi",'R9'!$R$4="PY"),ROUND('R9'!$E13*(1+'R9'!$M13)/'W9'!$D$5*'W9'!$D$5,0),(IF(AND('R9'!$S$4&lt;&gt;"Multi",'R9'!$R$4="FY"),ROUND(((1+'R9'!$S$4)^('W9'!$B$20)*'W9'!$D$9+(1+'R9'!$S$4)^('W9'!$B$20+1)*'W9'!$D$10)/'W9'!$D$5*'R9'!$E13,0),ROUND('R9'!$E13*(1+'R9'!$S$4)/'W9'!$D$5*'W9'!$D$5,0))))))),(IF(AND('R9'!$S$4="Multi",'R9'!$R$4="FY"),ROUND(((1+'R9'!$M13)^('W9'!$B$20+1)*'W9'!$D$9+(1+'R9'!$M13)^('W9'!$B$20+2)*'W9'!$D$10)/'W9'!$D$5*'R9'!$E13,0),(IF(AND('R9'!$S$4="Multi",'R9'!$R$4="PY"),ROUND('R9'!$E13*(1+'R9'!$M13)/'W9'!$D$5*'W9'!$D$5,0),(IF(AND('R9'!$S$4&lt;&gt;"Multi",'R9'!$R$4="FY"),ROUND(((1+'R9'!$S$4)^('W9'!$B$20+1)*'W9'!$D$9+(1+'R9'!$S$4)^('W9'!$B$20+2)*'W9'!$D$10)/'W9'!$D$5*'R9'!$E13,0),ROUND('R9'!$E13*(1+'R9'!$S$4)/'W9'!$D$5*'W9'!$D$5,0)))))))))</f>
        <v>0</v>
      </c>
      <c r="E333" s="300"/>
      <c r="F333" s="302">
        <f ca="1">IF('W9'!$E$5=0,"",IF($C$4=$D$4,(IF(AND('R9'!$S$4="Multi",'R9'!$R$4="FY"),ROUND(((1+'R9'!$M13)^('W9'!$B$20+1)*'W9'!$E$9+(1+'R9'!$M13)^('W9'!$B$20+3)*'W9'!$E$10)/'W9'!$E$5*'R9'!$E13,0),(IF(AND('R9'!$S$4="Multi",'R9'!$R$4="PY"),ROUND('R9'!$E13*((1+'R9'!$M13)^2)/'W9'!$E$5*'W9'!$E$5,0),(IF(AND('R9'!$S$4&lt;&gt;"Multi",'R9'!$R$4="FY"),ROUND(((1+'R9'!$S$4)^('W9'!$B$20+1)*'W9'!$E$9+(1+'R9'!$S$4)^('W9'!$B$20+2)*'W9'!$E$10)/'W9'!$E$5*'R9'!$E13,0),ROUND('R9'!$E13*((1+'R9'!$S$4)^2)/'W9'!$E$5*'W9'!$E$5,0))))))),(IF(AND('R9'!$S$4="Multi",'R9'!$R$4="FY"),ROUND(((1+'R9'!$M13)^('W9'!$B$20+2)*'W9'!$E$9+(1+'R9'!$M13)^('W9'!$B$20+3)*'W9'!$E$10)/'W9'!$E$5*'R9'!$E13,0),(IF(AND('R9'!$S$4="Multi",'R9'!$R$4="PY"),ROUND('R9'!$E13*((1+'R9'!$M13)^2)/'W9'!$E$5*'W9'!$E$5,0),(IF(AND('R9'!$S$4&lt;&gt;"Multi",'R9'!$R$4="FY"),ROUND(((1+'R9'!$S$4)^('W9'!$B$20+2)*'W9'!$E$9+(1+'R9'!$S$4)^('W9'!$B$20+3)*'W9'!$E$10)/'W9'!$E$5*'R9'!$E13,0),ROUND('R9'!$E13*((1+'R9'!$S$4)^2)/'W9'!$E$5*'W9'!$E$5,0)))))))))</f>
        <v>0</v>
      </c>
      <c r="G333" s="300"/>
      <c r="H333" s="302">
        <f ca="1">IF('W9'!$F$5=0,"",IF($C$4=$D$4,(IF(AND('R9'!$S$4="Multi",'R9'!$R$4="FY"),ROUND(((1+'R9'!$M13)^('W9'!$B$20+2)*'W9'!$F$9+(1+'R9'!$M13)^('W9'!$B$20+3)*'W9'!$F$10)/'W9'!$F$5*'R9'!$E13,0),(IF(AND('R9'!$S$4="Multi",'R9'!$R$4="PY"),ROUND('R9'!$E13*((1+'R9'!$M13)^3)/'W9'!$F$5*'W9'!$F$5,0),(IF(AND('R9'!$S$4&lt;&gt;"Multi",'R9'!$R$4="FY"),ROUND(((1+'R9'!$S$4)^('W9'!$B$20+2)*'W9'!$F$9+(1+'R9'!$S$4)^('W9'!$B$20+3)*'W9'!$F$10)/'W9'!$F$5*'R9'!$E13,0),ROUND('R9'!$E13*((1+'R9'!$S$4)^3)/'W9'!$F$5*'W9'!$F$5,0))))))),(IF(AND('R9'!$S$4="Multi",'R9'!$R$4="FY"),ROUND(((1+'R9'!$M13)^('W9'!$B$20+3)*'W9'!$F$9+(1+'R9'!$M13)^('W9'!$B$20+4)*'W9'!$F$10)/'W9'!$F$5*'R9'!$E13,0),(IF(AND('R9'!$S$4="Multi",'R9'!$R$4="PY"),ROUND('R9'!$E13*((1+'R9'!$M13)^3)/'W9'!$F$5*'W9'!$F$5,0),(IF(AND('R9'!$S$4&lt;&gt;"Multi",'R9'!$R$4="FY"),ROUND(((1+'R9'!$S$4)^('W9'!$B$20+3)*'W9'!$F$9+(1+'R9'!$S$4)^('W9'!$B$20+4)*'W9'!$F$10)/'W9'!$F$5*'R9'!$E13,0),ROUND('R9'!$E13*((1+'R9'!$S$4)^3)/'W9'!$F$5*'W9'!$F$5,0)))))))))</f>
        <v>0</v>
      </c>
      <c r="I333" s="300"/>
      <c r="J333" s="302">
        <f ca="1">IF('W9'!$G$5=0,"",IF($C$4=$D$4,(IF(AND('R9'!$S$4="Multi",'R9'!$R$4="FY"),ROUND(((1+'R9'!$M13)^('W9'!$B$20+3)*'W9'!$G$9+(1+'R9'!$M13)^('W9'!$B$20+4)*'W9'!$G$10)/'W9'!$G$5*'R9'!$E13,0),(IF(AND('R9'!$S$4="Multi",'R9'!$R$4="PY"),ROUND('R9'!$E13*((1+'R9'!$M13)^4)/'W9'!$G$5*'W9'!$G$5,0),(IF(AND('R9'!$S$4&lt;&gt;"Multi",'R9'!$R$4="FY"),ROUND(((1+'R9'!$S$4)^('W9'!$B$20+3)*'W9'!$G$9+(1+'R9'!$S$4)^('W9'!$B$20+4)*'W9'!$G$10)/'W9'!$G$5*'R9'!$E13,0),ROUND('R9'!$E13*((1+'R9'!$S$4)^4)/'W9'!$G$5*'W9'!$G$5,0))))))),(IF(AND('R9'!$S$4="Multi",'R9'!$R$4="FY"),ROUND(((1+'R9'!$M13)^('W9'!$B$20+4)*'W9'!$G$9+(1+'R9'!$M13)^('W9'!$B$20+5)*'W9'!$G$10)/'W9'!$G$5*'R9'!$E13,0),(IF(AND('R9'!$S$4="Multi",'R9'!$R$4="PY"),ROUND('R9'!$E13*((1+'R9'!$M13)^4)/'W9'!$G$5*'W9'!$G$5,0),(IF(AND('R9'!$S$4&lt;&gt;"Multi",'R9'!$R$4="FY"),ROUND(((1+'R9'!$S$4)^('W9'!$B$20+4)*'W9'!$G$9+(1+'R9'!$S$4)^('W9'!$B$20+5)*'W9'!$G$10)/'W9'!$G$5*'R9'!$E13,0),ROUND('R9'!$E13*((1+'R9'!$S$4)^4)/'W9'!$G$5*'W9'!$G$5,0)))))))))</f>
        <v>0</v>
      </c>
      <c r="K333" s="300"/>
    </row>
    <row r="334" spans="1:11" x14ac:dyDescent="0.2">
      <c r="A334" s="82">
        <f>'P9'!B9</f>
        <v>0</v>
      </c>
      <c r="B334" s="302">
        <f ca="1">IF('W9'!$C$5=0,"",IF(AND('R9'!$S$4="Multi",'R9'!$R$4="FY"),ROUND(((1+'R9'!$M14)^'W9'!$B$20*'W9'!$C$9+(1+'R9'!$M14)^('W9'!$B$20+1)*'W9'!$C$10)/('W9'!$C$5)*'R9'!$E14,0),(IF(AND('R9'!$S$4="Multi",'R9'!$R$4="PY"),ROUND('R9'!$E14/('W9'!$C$5)*'W9'!$C$5,0),(IF(AND('R9'!$S$4&lt;&gt;"Multi",'R9'!$R$4="FY"),ROUND(((1+'R9'!$S$4)^'W9'!$B$20*'W9'!$C$9+(1+'R9'!$S$4)^('W9'!$B$20+1)*'W9'!$C$10)/'W9'!$C$5*'R9'!$E14,0),ROUND('R9'!$E14/'W9'!$C$5*'W9'!$C$5,0)))))))</f>
        <v>0</v>
      </c>
      <c r="C334" s="300"/>
      <c r="D334" s="302">
        <f ca="1">IF('W9'!$D$5=0,"",IF($C$4=$D$4,(IF(AND('R9'!$S$4="Multi",'R9'!$R$4="FY"),ROUND(((1+'R9'!$M14)^('W9'!$B$20)*'W9'!$D$9+(1+'R9'!$M14)^('W9'!$B$20+1)*'W9'!$D$10)/'W9'!$D$5*'R9'!$E14,0),(IF(AND('R9'!$S$4="Multi",'R9'!$R$4="PY"),ROUND('R9'!$E14*(1+'R9'!$M14)/'W9'!$D$5*'W9'!$D$5,0),(IF(AND('R9'!$S$4&lt;&gt;"Multi",'R9'!$R$4="FY"),ROUND(((1+'R9'!$S$4)^('W9'!$B$20)*'W9'!$D$9+(1+'R9'!$S$4)^('W9'!$B$20+1)*'W9'!$D$10)/'W9'!$D$5*'R9'!$E14,0),ROUND('R9'!$E14*(1+'R9'!$S$4)/'W9'!$D$5*'W9'!$D$5,0))))))),(IF(AND('R9'!$S$4="Multi",'R9'!$R$4="FY"),ROUND(((1+'R9'!$M14)^('W9'!$B$20+1)*'W9'!$D$9+(1+'R9'!$M14)^('W9'!$B$20+2)*'W9'!$D$10)/'W9'!$D$5*'R9'!$E14,0),(IF(AND('R9'!$S$4="Multi",'R9'!$R$4="PY"),ROUND('R9'!$E14*(1+'R9'!$M14)/'W9'!$D$5*'W9'!$D$5,0),(IF(AND('R9'!$S$4&lt;&gt;"Multi",'R9'!$R$4="FY"),ROUND(((1+'R9'!$S$4)^('W9'!$B$20+1)*'W9'!$D$9+(1+'R9'!$S$4)^('W9'!$B$20+2)*'W9'!$D$10)/'W9'!$D$5*'R9'!$E14,0),ROUND('R9'!$E14*(1+'R9'!$S$4)/'W9'!$D$5*'W9'!$D$5,0)))))))))</f>
        <v>0</v>
      </c>
      <c r="E334" s="300"/>
      <c r="F334" s="302">
        <f ca="1">IF('W9'!$E$5=0,"",IF($C$4=$D$4,(IF(AND('R9'!$S$4="Multi",'R9'!$R$4="FY"),ROUND(((1+'R9'!$M14)^('W9'!$B$20+1)*'W9'!$E$9+(1+'R9'!$M14)^('W9'!$B$20+3)*'W9'!$E$10)/'W9'!$E$5*'R9'!$E14,0),(IF(AND('R9'!$S$4="Multi",'R9'!$R$4="PY"),ROUND('R9'!$E14*((1+'R9'!$M14)^2)/'W9'!$E$5*'W9'!$E$5,0),(IF(AND('R9'!$S$4&lt;&gt;"Multi",'R9'!$R$4="FY"),ROUND(((1+'R9'!$S$4)^('W9'!$B$20+1)*'W9'!$E$9+(1+'R9'!$S$4)^('W9'!$B$20+2)*'W9'!$E$10)/'W9'!$E$5*'R9'!$E14,0),ROUND('R9'!$E14*((1+'R9'!$S$4)^2)/'W9'!$E$5*'W9'!$E$5,0))))))),(IF(AND('R9'!$S$4="Multi",'R9'!$R$4="FY"),ROUND(((1+'R9'!$M14)^('W9'!$B$20+2)*'W9'!$E$9+(1+'R9'!$M14)^('W9'!$B$20+3)*'W9'!$E$10)/'W9'!$E$5*'R9'!$E14,0),(IF(AND('R9'!$S$4="Multi",'R9'!$R$4="PY"),ROUND('R9'!$E14*((1+'R9'!$M14)^2)/'W9'!$E$5*'W9'!$E$5,0),(IF(AND('R9'!$S$4&lt;&gt;"Multi",'R9'!$R$4="FY"),ROUND(((1+'R9'!$S$4)^('W9'!$B$20+2)*'W9'!$E$9+(1+'R9'!$S$4)^('W9'!$B$20+3)*'W9'!$E$10)/'W9'!$E$5*'R9'!$E14,0),ROUND('R9'!$E14*((1+'R9'!$S$4)^2)/'W9'!$E$5*'W9'!$E$5,0)))))))))</f>
        <v>0</v>
      </c>
      <c r="G334" s="300"/>
      <c r="H334" s="302">
        <f ca="1">IF('W9'!$F$5=0,"",IF($C$4=$D$4,(IF(AND('R9'!$S$4="Multi",'R9'!$R$4="FY"),ROUND(((1+'R9'!$M14)^('W9'!$B$20+2)*'W9'!$F$9+(1+'R9'!$M14)^('W9'!$B$20+3)*'W9'!$F$10)/'W9'!$F$5*'R9'!$E14,0),(IF(AND('R9'!$S$4="Multi",'R9'!$R$4="PY"),ROUND('R9'!$E14*((1+'R9'!$M14)^3)/'W9'!$F$5*'W9'!$F$5,0),(IF(AND('R9'!$S$4&lt;&gt;"Multi",'R9'!$R$4="FY"),ROUND(((1+'R9'!$S$4)^('W9'!$B$20+2)*'W9'!$F$9+(1+'R9'!$S$4)^('W9'!$B$20+3)*'W9'!$F$10)/'W9'!$F$5*'R9'!$E14,0),ROUND('R9'!$E14*((1+'R9'!$S$4)^3)/'W9'!$F$5*'W9'!$F$5,0))))))),(IF(AND('R9'!$S$4="Multi",'R9'!$R$4="FY"),ROUND(((1+'R9'!$M14)^('W9'!$B$20+3)*'W9'!$F$9+(1+'R9'!$M14)^('W9'!$B$20+4)*'W9'!$F$10)/'W9'!$F$5*'R9'!$E14,0),(IF(AND('R9'!$S$4="Multi",'R9'!$R$4="PY"),ROUND('R9'!$E14*((1+'R9'!$M14)^3)/'W9'!$F$5*'W9'!$F$5,0),(IF(AND('R9'!$S$4&lt;&gt;"Multi",'R9'!$R$4="FY"),ROUND(((1+'R9'!$S$4)^('W9'!$B$20+3)*'W9'!$F$9+(1+'R9'!$S$4)^('W9'!$B$20+4)*'W9'!$F$10)/'W9'!$F$5*'R9'!$E14,0),ROUND('R9'!$E14*((1+'R9'!$S$4)^3)/'W9'!$F$5*'W9'!$F$5,0)))))))))</f>
        <v>0</v>
      </c>
      <c r="I334" s="300"/>
      <c r="J334" s="302">
        <f ca="1">IF('W9'!$G$5=0,"",IF($C$4=$D$4,(IF(AND('R9'!$S$4="Multi",'R9'!$R$4="FY"),ROUND(((1+'R9'!$M14)^('W9'!$B$20+3)*'W9'!$G$9+(1+'R9'!$M14)^('W9'!$B$20+4)*'W9'!$G$10)/'W9'!$G$5*'R9'!$E14,0),(IF(AND('R9'!$S$4="Multi",'R9'!$R$4="PY"),ROUND('R9'!$E14*((1+'R9'!$M14)^4)/'W9'!$G$5*'W9'!$G$5,0),(IF(AND('R9'!$S$4&lt;&gt;"Multi",'R9'!$R$4="FY"),ROUND(((1+'R9'!$S$4)^('W9'!$B$20+3)*'W9'!$G$9+(1+'R9'!$S$4)^('W9'!$B$20+4)*'W9'!$G$10)/'W9'!$G$5*'R9'!$E14,0),ROUND('R9'!$E14*((1+'R9'!$S$4)^4)/'W9'!$G$5*'W9'!$G$5,0))))))),(IF(AND('R9'!$S$4="Multi",'R9'!$R$4="FY"),ROUND(((1+'R9'!$M14)^('W9'!$B$20+4)*'W9'!$G$9+(1+'R9'!$M14)^('W9'!$B$20+5)*'W9'!$G$10)/'W9'!$G$5*'R9'!$E14,0),(IF(AND('R9'!$S$4="Multi",'R9'!$R$4="PY"),ROUND('R9'!$E14*((1+'R9'!$M14)^4)/'W9'!$G$5*'W9'!$G$5,0),(IF(AND('R9'!$S$4&lt;&gt;"Multi",'R9'!$R$4="FY"),ROUND(((1+'R9'!$S$4)^('W9'!$B$20+4)*'W9'!$G$9+(1+'R9'!$S$4)^('W9'!$B$20+5)*'W9'!$G$10)/'W9'!$G$5*'R9'!$E14,0),ROUND('R9'!$E14*((1+'R9'!$S$4)^4)/'W9'!$G$5*'W9'!$G$5,0)))))))))</f>
        <v>0</v>
      </c>
      <c r="K334" s="300"/>
    </row>
    <row r="335" spans="1:11" x14ac:dyDescent="0.2">
      <c r="A335" s="82">
        <f>'P9'!B10</f>
        <v>0</v>
      </c>
      <c r="B335" s="302">
        <f ca="1">IF('W9'!$C$5=0,"",IF(AND('R9'!$S$4="Multi",'R9'!$R$4="FY"),ROUND(((1+'R9'!$M15)^'W9'!$B$20*'W9'!$C$9+(1+'R9'!$M15)^('W9'!$B$20+1)*'W9'!$C$10)/('W9'!$C$5)*'R9'!$E15,0),(IF(AND('R9'!$S$4="Multi",'R9'!$R$4="PY"),ROUND('R9'!$E15/('W9'!$C$5)*'W9'!$C$5,0),(IF(AND('R9'!$S$4&lt;&gt;"Multi",'R9'!$R$4="FY"),ROUND(((1+'R9'!$S$4)^'W9'!$B$20*'W9'!$C$9+(1+'R9'!$S$4)^('W9'!$B$20+1)*'W9'!$C$10)/'W9'!$C$5*'R9'!$E15,0),ROUND('R9'!$E15/'W9'!$C$5*'W9'!$C$5,0)))))))</f>
        <v>0</v>
      </c>
      <c r="C335" s="300"/>
      <c r="D335" s="302">
        <f ca="1">IF('W9'!$D$5=0,"",IF($C$4=$D$4,(IF(AND('R9'!$S$4="Multi",'R9'!$R$4="FY"),ROUND(((1+'R9'!$M15)^('W9'!$B$20)*'W9'!$D$9+(1+'R9'!$M15)^('W9'!$B$20+1)*'W9'!$D$10)/'W9'!$D$5*'R9'!$E15,0),(IF(AND('R9'!$S$4="Multi",'R9'!$R$4="PY"),ROUND('R9'!$E15*(1+'R9'!$M15)/'W9'!$D$5*'W9'!$D$5,0),(IF(AND('R9'!$S$4&lt;&gt;"Multi",'R9'!$R$4="FY"),ROUND(((1+'R9'!$S$4)^('W9'!$B$20)*'W9'!$D$9+(1+'R9'!$S$4)^('W9'!$B$20+1)*'W9'!$D$10)/'W9'!$D$5*'R9'!$E15,0),ROUND('R9'!$E15*(1+'R9'!$S$4)/'W9'!$D$5*'W9'!$D$5,0))))))),(IF(AND('R9'!$S$4="Multi",'R9'!$R$4="FY"),ROUND(((1+'R9'!$M15)^('W9'!$B$20+1)*'W9'!$D$9+(1+'R9'!$M15)^('W9'!$B$20+2)*'W9'!$D$10)/'W9'!$D$5*'R9'!$E15,0),(IF(AND('R9'!$S$4="Multi",'R9'!$R$4="PY"),ROUND('R9'!$E15*(1+'R9'!$M15)/'W9'!$D$5*'W9'!$D$5,0),(IF(AND('R9'!$S$4&lt;&gt;"Multi",'R9'!$R$4="FY"),ROUND(((1+'R9'!$S$4)^('W9'!$B$20+1)*'W9'!$D$9+(1+'R9'!$S$4)^('W9'!$B$20+2)*'W9'!$D$10)/'W9'!$D$5*'R9'!$E15,0),ROUND('R9'!$E15*(1+'R9'!$S$4)/'W9'!$D$5*'W9'!$D$5,0)))))))))</f>
        <v>0</v>
      </c>
      <c r="E335" s="300"/>
      <c r="F335" s="302">
        <f ca="1">IF('W9'!$E$5=0,"",IF($C$4=$D$4,(IF(AND('R9'!$S$4="Multi",'R9'!$R$4="FY"),ROUND(((1+'R9'!$M15)^('W9'!$B$20+1)*'W9'!$E$9+(1+'R9'!$M15)^('W9'!$B$20+3)*'W9'!$E$10)/'W9'!$E$5*'R9'!$E15,0),(IF(AND('R9'!$S$4="Multi",'R9'!$R$4="PY"),ROUND('R9'!$E15*((1+'R9'!$M15)^2)/'W9'!$E$5*'W9'!$E$5,0),(IF(AND('R9'!$S$4&lt;&gt;"Multi",'R9'!$R$4="FY"),ROUND(((1+'R9'!$S$4)^('W9'!$B$20+1)*'W9'!$E$9+(1+'R9'!$S$4)^('W9'!$B$20+2)*'W9'!$E$10)/'W9'!$E$5*'R9'!$E15,0),ROUND('R9'!$E15*((1+'R9'!$S$4)^2)/'W9'!$E$5*'W9'!$E$5,0))))))),(IF(AND('R9'!$S$4="Multi",'R9'!$R$4="FY"),ROUND(((1+'R9'!$M15)^('W9'!$B$20+2)*'W9'!$E$9+(1+'R9'!$M15)^('W9'!$B$20+3)*'W9'!$E$10)/'W9'!$E$5*'R9'!$E15,0),(IF(AND('R9'!$S$4="Multi",'R9'!$R$4="PY"),ROUND('R9'!$E15*((1+'R9'!$M15)^2)/'W9'!$E$5*'W9'!$E$5,0),(IF(AND('R9'!$S$4&lt;&gt;"Multi",'R9'!$R$4="FY"),ROUND(((1+'R9'!$S$4)^('W9'!$B$20+2)*'W9'!$E$9+(1+'R9'!$S$4)^('W9'!$B$20+3)*'W9'!$E$10)/'W9'!$E$5*'R9'!$E15,0),ROUND('R9'!$E15*((1+'R9'!$S$4)^2)/'W9'!$E$5*'W9'!$E$5,0)))))))))</f>
        <v>0</v>
      </c>
      <c r="G335" s="300"/>
      <c r="H335" s="302">
        <f ca="1">IF('W9'!$F$5=0,"",IF($C$4=$D$4,(IF(AND('R9'!$S$4="Multi",'R9'!$R$4="FY"),ROUND(((1+'R9'!$M15)^('W9'!$B$20+2)*'W9'!$F$9+(1+'R9'!$M15)^('W9'!$B$20+3)*'W9'!$F$10)/'W9'!$F$5*'R9'!$E15,0),(IF(AND('R9'!$S$4="Multi",'R9'!$R$4="PY"),ROUND('R9'!$E15*((1+'R9'!$M15)^3)/'W9'!$F$5*'W9'!$F$5,0),(IF(AND('R9'!$S$4&lt;&gt;"Multi",'R9'!$R$4="FY"),ROUND(((1+'R9'!$S$4)^('W9'!$B$20+2)*'W9'!$F$9+(1+'R9'!$S$4)^('W9'!$B$20+3)*'W9'!$F$10)/'W9'!$F$5*'R9'!$E15,0),ROUND('R9'!$E15*((1+'R9'!$S$4)^3)/'W9'!$F$5*'W9'!$F$5,0))))))),(IF(AND('R9'!$S$4="Multi",'R9'!$R$4="FY"),ROUND(((1+'R9'!$M15)^('W9'!$B$20+3)*'W9'!$F$9+(1+'R9'!$M15)^('W9'!$B$20+4)*'W9'!$F$10)/'W9'!$F$5*'R9'!$E15,0),(IF(AND('R9'!$S$4="Multi",'R9'!$R$4="PY"),ROUND('R9'!$E15*((1+'R9'!$M15)^3)/'W9'!$F$5*'W9'!$F$5,0),(IF(AND('R9'!$S$4&lt;&gt;"Multi",'R9'!$R$4="FY"),ROUND(((1+'R9'!$S$4)^('W9'!$B$20+3)*'W9'!$F$9+(1+'R9'!$S$4)^('W9'!$B$20+4)*'W9'!$F$10)/'W9'!$F$5*'R9'!$E15,0),ROUND('R9'!$E15*((1+'R9'!$S$4)^3)/'W9'!$F$5*'W9'!$F$5,0)))))))))</f>
        <v>0</v>
      </c>
      <c r="I335" s="300"/>
      <c r="J335" s="302">
        <f ca="1">IF('W9'!$G$5=0,"",IF($C$4=$D$4,(IF(AND('R9'!$S$4="Multi",'R9'!$R$4="FY"),ROUND(((1+'R9'!$M15)^('W9'!$B$20+3)*'W9'!$G$9+(1+'R9'!$M15)^('W9'!$B$20+4)*'W9'!$G$10)/'W9'!$G$5*'R9'!$E15,0),(IF(AND('R9'!$S$4="Multi",'R9'!$R$4="PY"),ROUND('R9'!$E15*((1+'R9'!$M15)^4)/'W9'!$G$5*'W9'!$G$5,0),(IF(AND('R9'!$S$4&lt;&gt;"Multi",'R9'!$R$4="FY"),ROUND(((1+'R9'!$S$4)^('W9'!$B$20+3)*'W9'!$G$9+(1+'R9'!$S$4)^('W9'!$B$20+4)*'W9'!$G$10)/'W9'!$G$5*'R9'!$E15,0),ROUND('R9'!$E15*((1+'R9'!$S$4)^4)/'W9'!$G$5*'W9'!$G$5,0))))))),(IF(AND('R9'!$S$4="Multi",'R9'!$R$4="FY"),ROUND(((1+'R9'!$M15)^('W9'!$B$20+4)*'W9'!$G$9+(1+'R9'!$M15)^('W9'!$B$20+5)*'W9'!$G$10)/'W9'!$G$5*'R9'!$E15,0),(IF(AND('R9'!$S$4="Multi",'R9'!$R$4="PY"),ROUND('R9'!$E15*((1+'R9'!$M15)^4)/'W9'!$G$5*'W9'!$G$5,0),(IF(AND('R9'!$S$4&lt;&gt;"Multi",'R9'!$R$4="FY"),ROUND(((1+'R9'!$S$4)^('W9'!$B$20+4)*'W9'!$G$9+(1+'R9'!$S$4)^('W9'!$B$20+5)*'W9'!$G$10)/'W9'!$G$5*'R9'!$E15,0),ROUND('R9'!$E15*((1+'R9'!$S$4)^4)/'W9'!$G$5*'W9'!$G$5,0)))))))))</f>
        <v>0</v>
      </c>
      <c r="K335" s="300"/>
    </row>
    <row r="336" spans="1:11" x14ac:dyDescent="0.2">
      <c r="A336" s="82">
        <f>'P9'!B11</f>
        <v>0</v>
      </c>
      <c r="B336" s="302">
        <f ca="1">IF('W9'!$C$5=0,"",IF(AND('R9'!$S$4="Multi",'R9'!$R$4="FY"),ROUND(((1+'R9'!$M16)^'W9'!$B$20*'W9'!$C$9+(1+'R9'!$M16)^('W9'!$B$20+1)*'W9'!$C$10)/('W9'!$C$5)*'R9'!$E16,0),(IF(AND('R9'!$S$4="Multi",'R9'!$R$4="PY"),ROUND('R9'!$E16/('W9'!$C$5)*'W9'!$C$5,0),(IF(AND('R9'!$S$4&lt;&gt;"Multi",'R9'!$R$4="FY"),ROUND(((1+'R9'!$S$4)^'W9'!$B$20*'W9'!$C$9+(1+'R9'!$S$4)^('W9'!$B$20+1)*'W9'!$C$10)/'W9'!$C$5*'R9'!$E16,0),ROUND('R9'!$E16/'W9'!$C$5*'W9'!$C$5,0)))))))</f>
        <v>0</v>
      </c>
      <c r="C336" s="300"/>
      <c r="D336" s="302">
        <f ca="1">IF('W9'!$D$5=0,"",IF($C$4=$D$4,(IF(AND('R9'!$S$4="Multi",'R9'!$R$4="FY"),ROUND(((1+'R9'!$M16)^('W9'!$B$20)*'W9'!$D$9+(1+'R9'!$M16)^('W9'!$B$20+1)*'W9'!$D$10)/'W9'!$D$5*'R9'!$E16,0),(IF(AND('R9'!$S$4="Multi",'R9'!$R$4="PY"),ROUND('R9'!$E16*(1+'R9'!$M16)/'W9'!$D$5*'W9'!$D$5,0),(IF(AND('R9'!$S$4&lt;&gt;"Multi",'R9'!$R$4="FY"),ROUND(((1+'R9'!$S$4)^('W9'!$B$20)*'W9'!$D$9+(1+'R9'!$S$4)^('W9'!$B$20+1)*'W9'!$D$10)/'W9'!$D$5*'R9'!$E16,0),ROUND('R9'!$E16*(1+'R9'!$S$4)/'W9'!$D$5*'W9'!$D$5,0))))))),(IF(AND('R9'!$S$4="Multi",'R9'!$R$4="FY"),ROUND(((1+'R9'!$M16)^('W9'!$B$20+1)*'W9'!$D$9+(1+'R9'!$M16)^('W9'!$B$20+2)*'W9'!$D$10)/'W9'!$D$5*'R9'!$E16,0),(IF(AND('R9'!$S$4="Multi",'R9'!$R$4="PY"),ROUND('R9'!$E16*(1+'R9'!$M16)/'W9'!$D$5*'W9'!$D$5,0),(IF(AND('R9'!$S$4&lt;&gt;"Multi",'R9'!$R$4="FY"),ROUND(((1+'R9'!$S$4)^('W9'!$B$20+1)*'W9'!$D$9+(1+'R9'!$S$4)^('W9'!$B$20+2)*'W9'!$D$10)/'W9'!$D$5*'R9'!$E16,0),ROUND('R9'!$E16*(1+'R9'!$S$4)/'W9'!$D$5*'W9'!$D$5,0)))))))))</f>
        <v>0</v>
      </c>
      <c r="E336" s="300"/>
      <c r="F336" s="302">
        <f ca="1">IF('W9'!$E$5=0,"",IF($C$4=$D$4,(IF(AND('R9'!$S$4="Multi",'R9'!$R$4="FY"),ROUND(((1+'R9'!$M16)^('W9'!$B$20+1)*'W9'!$E$9+(1+'R9'!$M16)^('W9'!$B$20+3)*'W9'!$E$10)/'W9'!$E$5*'R9'!$E16,0),(IF(AND('R9'!$S$4="Multi",'R9'!$R$4="PY"),ROUND('R9'!$E16*((1+'R9'!$M16)^2)/'W9'!$E$5*'W9'!$E$5,0),(IF(AND('R9'!$S$4&lt;&gt;"Multi",'R9'!$R$4="FY"),ROUND(((1+'R9'!$S$4)^('W9'!$B$20+1)*'W9'!$E$9+(1+'R9'!$S$4)^('W9'!$B$20+2)*'W9'!$E$10)/'W9'!$E$5*'R9'!$E16,0),ROUND('R9'!$E16*((1+'R9'!$S$4)^2)/'W9'!$E$5*'W9'!$E$5,0))))))),(IF(AND('R9'!$S$4="Multi",'R9'!$R$4="FY"),ROUND(((1+'R9'!$M16)^('W9'!$B$20+2)*'W9'!$E$9+(1+'R9'!$M16)^('W9'!$B$20+3)*'W9'!$E$10)/'W9'!$E$5*'R9'!$E16,0),(IF(AND('R9'!$S$4="Multi",'R9'!$R$4="PY"),ROUND('R9'!$E16*((1+'R9'!$M16)^2)/'W9'!$E$5*'W9'!$E$5,0),(IF(AND('R9'!$S$4&lt;&gt;"Multi",'R9'!$R$4="FY"),ROUND(((1+'R9'!$S$4)^('W9'!$B$20+2)*'W9'!$E$9+(1+'R9'!$S$4)^('W9'!$B$20+3)*'W9'!$E$10)/'W9'!$E$5*'R9'!$E16,0),ROUND('R9'!$E16*((1+'R9'!$S$4)^2)/'W9'!$E$5*'W9'!$E$5,0)))))))))</f>
        <v>0</v>
      </c>
      <c r="G336" s="300"/>
      <c r="H336" s="302">
        <f ca="1">IF('W9'!$F$5=0,"",IF($C$4=$D$4,(IF(AND('R9'!$S$4="Multi",'R9'!$R$4="FY"),ROUND(((1+'R9'!$M16)^('W9'!$B$20+2)*'W9'!$F$9+(1+'R9'!$M16)^('W9'!$B$20+3)*'W9'!$F$10)/'W9'!$F$5*'R9'!$E16,0),(IF(AND('R9'!$S$4="Multi",'R9'!$R$4="PY"),ROUND('R9'!$E16*((1+'R9'!$M16)^3)/'W9'!$F$5*'W9'!$F$5,0),(IF(AND('R9'!$S$4&lt;&gt;"Multi",'R9'!$R$4="FY"),ROUND(((1+'R9'!$S$4)^('W9'!$B$20+2)*'W9'!$F$9+(1+'R9'!$S$4)^('W9'!$B$20+3)*'W9'!$F$10)/'W9'!$F$5*'R9'!$E16,0),ROUND('R9'!$E16*((1+'R9'!$S$4)^3)/'W9'!$F$5*'W9'!$F$5,0))))))),(IF(AND('R9'!$S$4="Multi",'R9'!$R$4="FY"),ROUND(((1+'R9'!$M16)^('W9'!$B$20+3)*'W9'!$F$9+(1+'R9'!$M16)^('W9'!$B$20+4)*'W9'!$F$10)/'W9'!$F$5*'R9'!$E16,0),(IF(AND('R9'!$S$4="Multi",'R9'!$R$4="PY"),ROUND('R9'!$E16*((1+'R9'!$M16)^3)/'W9'!$F$5*'W9'!$F$5,0),(IF(AND('R9'!$S$4&lt;&gt;"Multi",'R9'!$R$4="FY"),ROUND(((1+'R9'!$S$4)^('W9'!$B$20+3)*'W9'!$F$9+(1+'R9'!$S$4)^('W9'!$B$20+4)*'W9'!$F$10)/'W9'!$F$5*'R9'!$E16,0),ROUND('R9'!$E16*((1+'R9'!$S$4)^3)/'W9'!$F$5*'W9'!$F$5,0)))))))))</f>
        <v>0</v>
      </c>
      <c r="I336" s="300"/>
      <c r="J336" s="302">
        <f ca="1">IF('W9'!$G$5=0,"",IF($C$4=$D$4,(IF(AND('R9'!$S$4="Multi",'R9'!$R$4="FY"),ROUND(((1+'R9'!$M16)^('W9'!$B$20+3)*'W9'!$G$9+(1+'R9'!$M16)^('W9'!$B$20+4)*'W9'!$G$10)/'W9'!$G$5*'R9'!$E16,0),(IF(AND('R9'!$S$4="Multi",'R9'!$R$4="PY"),ROUND('R9'!$E16*((1+'R9'!$M16)^4)/'W9'!$G$5*'W9'!$G$5,0),(IF(AND('R9'!$S$4&lt;&gt;"Multi",'R9'!$R$4="FY"),ROUND(((1+'R9'!$S$4)^('W9'!$B$20+3)*'W9'!$G$9+(1+'R9'!$S$4)^('W9'!$B$20+4)*'W9'!$G$10)/'W9'!$G$5*'R9'!$E16,0),ROUND('R9'!$E16*((1+'R9'!$S$4)^4)/'W9'!$G$5*'W9'!$G$5,0))))))),(IF(AND('R9'!$S$4="Multi",'R9'!$R$4="FY"),ROUND(((1+'R9'!$M16)^('W9'!$B$20+4)*'W9'!$G$9+(1+'R9'!$M16)^('W9'!$B$20+5)*'W9'!$G$10)/'W9'!$G$5*'R9'!$E16,0),(IF(AND('R9'!$S$4="Multi",'R9'!$R$4="PY"),ROUND('R9'!$E16*((1+'R9'!$M16)^4)/'W9'!$G$5*'W9'!$G$5,0),(IF(AND('R9'!$S$4&lt;&gt;"Multi",'R9'!$R$4="FY"),ROUND(((1+'R9'!$S$4)^('W9'!$B$20+4)*'W9'!$G$9+(1+'R9'!$S$4)^('W9'!$B$20+5)*'W9'!$G$10)/'W9'!$G$5*'R9'!$E16,0),ROUND('R9'!$E16*((1+'R9'!$S$4)^4)/'W9'!$G$5*'W9'!$G$5,0)))))))))</f>
        <v>0</v>
      </c>
      <c r="K336" s="300"/>
    </row>
    <row r="337" spans="1:11" x14ac:dyDescent="0.2">
      <c r="A337" s="82">
        <f>'P9'!B12</f>
        <v>0</v>
      </c>
      <c r="B337" s="302">
        <f ca="1">IF('W9'!$C$5=0,"",IF(AND('R9'!$S$4="Multi",'R9'!$R$4="FY"),ROUND(((1+'R9'!$M17)^'W9'!$B$20*'W9'!$C$9+(1+'R9'!$M17)^('W9'!$B$20+1)*'W9'!$C$10)/('W9'!$C$5)*'R9'!$E17,0),(IF(AND('R9'!$S$4="Multi",'R9'!$R$4="PY"),ROUND('R9'!$E17/('W9'!$C$5)*'W9'!$C$5,0),(IF(AND('R9'!$S$4&lt;&gt;"Multi",'R9'!$R$4="FY"),ROUND(((1+'R9'!$S$4)^'W9'!$B$20*'W9'!$C$9+(1+'R9'!$S$4)^('W9'!$B$20+1)*'W9'!$C$10)/'W9'!$C$5*'R9'!$E17,0),ROUND('R9'!$E17/'W9'!$C$5*'W9'!$C$5,0)))))))</f>
        <v>0</v>
      </c>
      <c r="C337" s="300"/>
      <c r="D337" s="302">
        <f ca="1">IF('W9'!$D$5=0,"",IF($C$4=$D$4,(IF(AND('R9'!$S$4="Multi",'R9'!$R$4="FY"),ROUND(((1+'R9'!$M17)^('W9'!$B$20)*'W9'!$D$9+(1+'R9'!$M17)^('W9'!$B$20+1)*'W9'!$D$10)/'W9'!$D$5*'R9'!$E17,0),(IF(AND('R9'!$S$4="Multi",'R9'!$R$4="PY"),ROUND('R9'!$E17*(1+'R9'!$M17)/'W9'!$D$5*'W9'!$D$5,0),(IF(AND('R9'!$S$4&lt;&gt;"Multi",'R9'!$R$4="FY"),ROUND(((1+'R9'!$S$4)^('W9'!$B$20)*'W9'!$D$9+(1+'R9'!$S$4)^('W9'!$B$20+1)*'W9'!$D$10)/'W9'!$D$5*'R9'!$E17,0),ROUND('R9'!$E17*(1+'R9'!$S$4)/'W9'!$D$5*'W9'!$D$5,0))))))),(IF(AND('R9'!$S$4="Multi",'R9'!$R$4="FY"),ROUND(((1+'R9'!$M17)^('W9'!$B$20+1)*'W9'!$D$9+(1+'R9'!$M17)^('W9'!$B$20+2)*'W9'!$D$10)/'W9'!$D$5*'R9'!$E17,0),(IF(AND('R9'!$S$4="Multi",'R9'!$R$4="PY"),ROUND('R9'!$E17*(1+'R9'!$M17)/'W9'!$D$5*'W9'!$D$5,0),(IF(AND('R9'!$S$4&lt;&gt;"Multi",'R9'!$R$4="FY"),ROUND(((1+'R9'!$S$4)^('W9'!$B$20+1)*'W9'!$D$9+(1+'R9'!$S$4)^('W9'!$B$20+2)*'W9'!$D$10)/'W9'!$D$5*'R9'!$E17,0),ROUND('R9'!$E17*(1+'R9'!$S$4)/'W9'!$D$5*'W9'!$D$5,0)))))))))</f>
        <v>0</v>
      </c>
      <c r="E337" s="300"/>
      <c r="F337" s="302">
        <f ca="1">IF('W9'!$E$5=0,"",IF($C$4=$D$4,(IF(AND('R9'!$S$4="Multi",'R9'!$R$4="FY"),ROUND(((1+'R9'!$M17)^('W9'!$B$20+1)*'W9'!$E$9+(1+'R9'!$M17)^('W9'!$B$20+3)*'W9'!$E$10)/'W9'!$E$5*'R9'!$E17,0),(IF(AND('R9'!$S$4="Multi",'R9'!$R$4="PY"),ROUND('R9'!$E17*((1+'R9'!$M17)^2)/'W9'!$E$5*'W9'!$E$5,0),(IF(AND('R9'!$S$4&lt;&gt;"Multi",'R9'!$R$4="FY"),ROUND(((1+'R9'!$S$4)^('W9'!$B$20+1)*'W9'!$E$9+(1+'R9'!$S$4)^('W9'!$B$20+2)*'W9'!$E$10)/'W9'!$E$5*'R9'!$E17,0),ROUND('R9'!$E17*((1+'R9'!$S$4)^2)/'W9'!$E$5*'W9'!$E$5,0))))))),(IF(AND('R9'!$S$4="Multi",'R9'!$R$4="FY"),ROUND(((1+'R9'!$M17)^('W9'!$B$20+2)*'W9'!$E$9+(1+'R9'!$M17)^('W9'!$B$20+3)*'W9'!$E$10)/'W9'!$E$5*'R9'!$E17,0),(IF(AND('R9'!$S$4="Multi",'R9'!$R$4="PY"),ROUND('R9'!$E17*((1+'R9'!$M17)^2)/'W9'!$E$5*'W9'!$E$5,0),(IF(AND('R9'!$S$4&lt;&gt;"Multi",'R9'!$R$4="FY"),ROUND(((1+'R9'!$S$4)^('W9'!$B$20+2)*'W9'!$E$9+(1+'R9'!$S$4)^('W9'!$B$20+3)*'W9'!$E$10)/'W9'!$E$5*'R9'!$E17,0),ROUND('R9'!$E17*((1+'R9'!$S$4)^2)/'W9'!$E$5*'W9'!$E$5,0)))))))))</f>
        <v>0</v>
      </c>
      <c r="G337" s="300"/>
      <c r="H337" s="302">
        <f ca="1">IF('W9'!$F$5=0,"",IF($C$4=$D$4,(IF(AND('R9'!$S$4="Multi",'R9'!$R$4="FY"),ROUND(((1+'R9'!$M17)^('W9'!$B$20+2)*'W9'!$F$9+(1+'R9'!$M17)^('W9'!$B$20+3)*'W9'!$F$10)/'W9'!$F$5*'R9'!$E17,0),(IF(AND('R9'!$S$4="Multi",'R9'!$R$4="PY"),ROUND('R9'!$E17*((1+'R9'!$M17)^3)/'W9'!$F$5*'W9'!$F$5,0),(IF(AND('R9'!$S$4&lt;&gt;"Multi",'R9'!$R$4="FY"),ROUND(((1+'R9'!$S$4)^('W9'!$B$20+2)*'W9'!$F$9+(1+'R9'!$S$4)^('W9'!$B$20+3)*'W9'!$F$10)/'W9'!$F$5*'R9'!$E17,0),ROUND('R9'!$E17*((1+'R9'!$S$4)^3)/'W9'!$F$5*'W9'!$F$5,0))))))),(IF(AND('R9'!$S$4="Multi",'R9'!$R$4="FY"),ROUND(((1+'R9'!$M17)^('W9'!$B$20+3)*'W9'!$F$9+(1+'R9'!$M17)^('W9'!$B$20+4)*'W9'!$F$10)/'W9'!$F$5*'R9'!$E17,0),(IF(AND('R9'!$S$4="Multi",'R9'!$R$4="PY"),ROUND('R9'!$E17*((1+'R9'!$M17)^3)/'W9'!$F$5*'W9'!$F$5,0),(IF(AND('R9'!$S$4&lt;&gt;"Multi",'R9'!$R$4="FY"),ROUND(((1+'R9'!$S$4)^('W9'!$B$20+3)*'W9'!$F$9+(1+'R9'!$S$4)^('W9'!$B$20+4)*'W9'!$F$10)/'W9'!$F$5*'R9'!$E17,0),ROUND('R9'!$E17*((1+'R9'!$S$4)^3)/'W9'!$F$5*'W9'!$F$5,0)))))))))</f>
        <v>0</v>
      </c>
      <c r="I337" s="300"/>
      <c r="J337" s="302">
        <f ca="1">IF('W9'!$G$5=0,"",IF($C$4=$D$4,(IF(AND('R9'!$S$4="Multi",'R9'!$R$4="FY"),ROUND(((1+'R9'!$M17)^('W9'!$B$20+3)*'W9'!$G$9+(1+'R9'!$M17)^('W9'!$B$20+4)*'W9'!$G$10)/'W9'!$G$5*'R9'!$E17,0),(IF(AND('R9'!$S$4="Multi",'R9'!$R$4="PY"),ROUND('R9'!$E17*((1+'R9'!$M17)^4)/'W9'!$G$5*'W9'!$G$5,0),(IF(AND('R9'!$S$4&lt;&gt;"Multi",'R9'!$R$4="FY"),ROUND(((1+'R9'!$S$4)^('W9'!$B$20+3)*'W9'!$G$9+(1+'R9'!$S$4)^('W9'!$B$20+4)*'W9'!$G$10)/'W9'!$G$5*'R9'!$E17,0),ROUND('R9'!$E17*((1+'R9'!$S$4)^4)/'W9'!$G$5*'W9'!$G$5,0))))))),(IF(AND('R9'!$S$4="Multi",'R9'!$R$4="FY"),ROUND(((1+'R9'!$M17)^('W9'!$B$20+4)*'W9'!$G$9+(1+'R9'!$M17)^('W9'!$B$20+5)*'W9'!$G$10)/'W9'!$G$5*'R9'!$E17,0),(IF(AND('R9'!$S$4="Multi",'R9'!$R$4="PY"),ROUND('R9'!$E17*((1+'R9'!$M17)^4)/'W9'!$G$5*'W9'!$G$5,0),(IF(AND('R9'!$S$4&lt;&gt;"Multi",'R9'!$R$4="FY"),ROUND(((1+'R9'!$S$4)^('W9'!$B$20+4)*'W9'!$G$9+(1+'R9'!$S$4)^('W9'!$B$20+5)*'W9'!$G$10)/'W9'!$G$5*'R9'!$E17,0),ROUND('R9'!$E17*((1+'R9'!$S$4)^4)/'W9'!$G$5*'W9'!$G$5,0)))))))))</f>
        <v>0</v>
      </c>
      <c r="K337" s="300"/>
    </row>
    <row r="338" spans="1:11" x14ac:dyDescent="0.2">
      <c r="A338" s="82">
        <f>'P9'!B13</f>
        <v>0</v>
      </c>
      <c r="B338" s="302">
        <f ca="1">IF('W9'!$C$5=0,"",IF(AND('R9'!$S$4="Multi",'R9'!$R$4="FY"),ROUND(((1+'R9'!$M18)^'W9'!$B$20*'W9'!$C$9+(1+'R9'!$M18)^('W9'!$B$20+1)*'W9'!$C$10)/('W9'!$C$5)*'R9'!$E18,0),(IF(AND('R9'!$S$4="Multi",'R9'!$R$4="PY"),ROUND('R9'!$E18/('W9'!$C$5)*'W9'!$C$5,0),(IF(AND('R9'!$S$4&lt;&gt;"Multi",'R9'!$R$4="FY"),ROUND(((1+'R9'!$S$4)^'W9'!$B$20*'W9'!$C$9+(1+'R9'!$S$4)^('W9'!$B$20+1)*'W9'!$C$10)/'W9'!$C$5*'R9'!$E18,0),ROUND('R9'!$E18/'W9'!$C$5*'W9'!$C$5,0)))))))</f>
        <v>0</v>
      </c>
      <c r="C338" s="300"/>
      <c r="D338" s="302">
        <f ca="1">IF('W9'!$D$5=0,"",IF($C$4=$D$4,(IF(AND('R9'!$S$4="Multi",'R9'!$R$4="FY"),ROUND(((1+'R9'!$M18)^('W9'!$B$20)*'W9'!$D$9+(1+'R9'!$M18)^('W9'!$B$20+1)*'W9'!$D$10)/'W9'!$D$5*'R9'!$E18,0),(IF(AND('R9'!$S$4="Multi",'R9'!$R$4="PY"),ROUND('R9'!$E18*(1+'R9'!$M18)/'W9'!$D$5*'W9'!$D$5,0),(IF(AND('R9'!$S$4&lt;&gt;"Multi",'R9'!$R$4="FY"),ROUND(((1+'R9'!$S$4)^('W9'!$B$20)*'W9'!$D$9+(1+'R9'!$S$4)^('W9'!$B$20+1)*'W9'!$D$10)/'W9'!$D$5*'R9'!$E18,0),ROUND('R9'!$E18*(1+'R9'!$S$4)/'W9'!$D$5*'W9'!$D$5,0))))))),(IF(AND('R9'!$S$4="Multi",'R9'!$R$4="FY"),ROUND(((1+'R9'!$M18)^('W9'!$B$20+1)*'W9'!$D$9+(1+'R9'!$M18)^('W9'!$B$20+2)*'W9'!$D$10)/'W9'!$D$5*'R9'!$E18,0),(IF(AND('R9'!$S$4="Multi",'R9'!$R$4="PY"),ROUND('R9'!$E18*(1+'R9'!$M18)/'W9'!$D$5*'W9'!$D$5,0),(IF(AND('R9'!$S$4&lt;&gt;"Multi",'R9'!$R$4="FY"),ROUND(((1+'R9'!$S$4)^('W9'!$B$20+1)*'W9'!$D$9+(1+'R9'!$S$4)^('W9'!$B$20+2)*'W9'!$D$10)/'W9'!$D$5*'R9'!$E18,0),ROUND('R9'!$E18*(1+'R9'!$S$4)/'W9'!$D$5*'W9'!$D$5,0)))))))))</f>
        <v>0</v>
      </c>
      <c r="E338" s="300"/>
      <c r="F338" s="302">
        <f ca="1">IF('W9'!$E$5=0,"",IF($C$4=$D$4,(IF(AND('R9'!$S$4="Multi",'R9'!$R$4="FY"),ROUND(((1+'R9'!$M18)^('W9'!$B$20+1)*'W9'!$E$9+(1+'R9'!$M18)^('W9'!$B$20+3)*'W9'!$E$10)/'W9'!$E$5*'R9'!$E18,0),(IF(AND('R9'!$S$4="Multi",'R9'!$R$4="PY"),ROUND('R9'!$E18*((1+'R9'!$M18)^2)/'W9'!$E$5*'W9'!$E$5,0),(IF(AND('R9'!$S$4&lt;&gt;"Multi",'R9'!$R$4="FY"),ROUND(((1+'R9'!$S$4)^('W9'!$B$20+1)*'W9'!$E$9+(1+'R9'!$S$4)^('W9'!$B$20+2)*'W9'!$E$10)/'W9'!$E$5*'R9'!$E18,0),ROUND('R9'!$E18*((1+'R9'!$S$4)^2)/'W9'!$E$5*'W9'!$E$5,0))))))),(IF(AND('R9'!$S$4="Multi",'R9'!$R$4="FY"),ROUND(((1+'R9'!$M18)^('W9'!$B$20+2)*'W9'!$E$9+(1+'R9'!$M18)^('W9'!$B$20+3)*'W9'!$E$10)/'W9'!$E$5*'R9'!$E18,0),(IF(AND('R9'!$S$4="Multi",'R9'!$R$4="PY"),ROUND('R9'!$E18*((1+'R9'!$M18)^2)/'W9'!$E$5*'W9'!$E$5,0),(IF(AND('R9'!$S$4&lt;&gt;"Multi",'R9'!$R$4="FY"),ROUND(((1+'R9'!$S$4)^('W9'!$B$20+2)*'W9'!$E$9+(1+'R9'!$S$4)^('W9'!$B$20+3)*'W9'!$E$10)/'W9'!$E$5*'R9'!$E18,0),ROUND('R9'!$E18*((1+'R9'!$S$4)^2)/'W9'!$E$5*'W9'!$E$5,0)))))))))</f>
        <v>0</v>
      </c>
      <c r="G338" s="300"/>
      <c r="H338" s="302">
        <f ca="1">IF('W9'!$F$5=0,"",IF($C$4=$D$4,(IF(AND('R9'!$S$4="Multi",'R9'!$R$4="FY"),ROUND(((1+'R9'!$M18)^('W9'!$B$20+2)*'W9'!$F$9+(1+'R9'!$M18)^('W9'!$B$20+3)*'W9'!$F$10)/'W9'!$F$5*'R9'!$E18,0),(IF(AND('R9'!$S$4="Multi",'R9'!$R$4="PY"),ROUND('R9'!$E18*((1+'R9'!$M18)^3)/'W9'!$F$5*'W9'!$F$5,0),(IF(AND('R9'!$S$4&lt;&gt;"Multi",'R9'!$R$4="FY"),ROUND(((1+'R9'!$S$4)^('W9'!$B$20+2)*'W9'!$F$9+(1+'R9'!$S$4)^('W9'!$B$20+3)*'W9'!$F$10)/'W9'!$F$5*'R9'!$E18,0),ROUND('R9'!$E18*((1+'R9'!$S$4)^3)/'W9'!$F$5*'W9'!$F$5,0))))))),(IF(AND('R9'!$S$4="Multi",'R9'!$R$4="FY"),ROUND(((1+'R9'!$M18)^('W9'!$B$20+3)*'W9'!$F$9+(1+'R9'!$M18)^('W9'!$B$20+4)*'W9'!$F$10)/'W9'!$F$5*'R9'!$E18,0),(IF(AND('R9'!$S$4="Multi",'R9'!$R$4="PY"),ROUND('R9'!$E18*((1+'R9'!$M18)^3)/'W9'!$F$5*'W9'!$F$5,0),(IF(AND('R9'!$S$4&lt;&gt;"Multi",'R9'!$R$4="FY"),ROUND(((1+'R9'!$S$4)^('W9'!$B$20+3)*'W9'!$F$9+(1+'R9'!$S$4)^('W9'!$B$20+4)*'W9'!$F$10)/'W9'!$F$5*'R9'!$E18,0),ROUND('R9'!$E18*((1+'R9'!$S$4)^3)/'W9'!$F$5*'W9'!$F$5,0)))))))))</f>
        <v>0</v>
      </c>
      <c r="I338" s="300"/>
      <c r="J338" s="302">
        <f ca="1">IF('W9'!$G$5=0,"",IF($C$4=$D$4,(IF(AND('R9'!$S$4="Multi",'R9'!$R$4="FY"),ROUND(((1+'R9'!$M18)^('W9'!$B$20+3)*'W9'!$G$9+(1+'R9'!$M18)^('W9'!$B$20+4)*'W9'!$G$10)/'W9'!$G$5*'R9'!$E18,0),(IF(AND('R9'!$S$4="Multi",'R9'!$R$4="PY"),ROUND('R9'!$E18*((1+'R9'!$M18)^4)/'W9'!$G$5*'W9'!$G$5,0),(IF(AND('R9'!$S$4&lt;&gt;"Multi",'R9'!$R$4="FY"),ROUND(((1+'R9'!$S$4)^('W9'!$B$20+3)*'W9'!$G$9+(1+'R9'!$S$4)^('W9'!$B$20+4)*'W9'!$G$10)/'W9'!$G$5*'R9'!$E18,0),ROUND('R9'!$E18*((1+'R9'!$S$4)^4)/'W9'!$G$5*'W9'!$G$5,0))))))),(IF(AND('R9'!$S$4="Multi",'R9'!$R$4="FY"),ROUND(((1+'R9'!$M18)^('W9'!$B$20+4)*'W9'!$G$9+(1+'R9'!$M18)^('W9'!$B$20+5)*'W9'!$G$10)/'W9'!$G$5*'R9'!$E18,0),(IF(AND('R9'!$S$4="Multi",'R9'!$R$4="PY"),ROUND('R9'!$E18*((1+'R9'!$M18)^4)/'W9'!$G$5*'W9'!$G$5,0),(IF(AND('R9'!$S$4&lt;&gt;"Multi",'R9'!$R$4="FY"),ROUND(((1+'R9'!$S$4)^('W9'!$B$20+4)*'W9'!$G$9+(1+'R9'!$S$4)^('W9'!$B$20+5)*'W9'!$G$10)/'W9'!$G$5*'R9'!$E18,0),ROUND('R9'!$E18*((1+'R9'!$S$4)^4)/'W9'!$G$5*'W9'!$G$5,0)))))))))</f>
        <v>0</v>
      </c>
      <c r="K338" s="300"/>
    </row>
    <row r="339" spans="1:11" x14ac:dyDescent="0.2">
      <c r="A339" s="82">
        <f>'P9'!B14</f>
        <v>0</v>
      </c>
      <c r="B339" s="302">
        <f ca="1">IF('W9'!$C$5=0,"",IF(AND('R9'!$S$4="Multi",'R9'!$R$4="FY"),ROUND(((1+'R9'!$M19)^'W9'!$B$20*'W9'!$C$9+(1+'R9'!$M19)^('W9'!$B$20+1)*'W9'!$C$10)/('W9'!$C$5)*'R9'!$E19,0),(IF(AND('R9'!$S$4="Multi",'R9'!$R$4="PY"),ROUND('R9'!$E19/('W9'!$C$5)*'W9'!$C$5,0),(IF(AND('R9'!$S$4&lt;&gt;"Multi",'R9'!$R$4="FY"),ROUND(((1+'R9'!$S$4)^'W9'!$B$20*'W9'!$C$9+(1+'R9'!$S$4)^('W9'!$B$20+1)*'W9'!$C$10)/'W9'!$C$5*'R9'!$E19,0),ROUND('R9'!$E19/'W9'!$C$5*'W9'!$C$5,0)))))))</f>
        <v>0</v>
      </c>
      <c r="C339" s="300"/>
      <c r="D339" s="302">
        <f ca="1">IF('W9'!$D$5=0,"",IF($C$4=$D$4,(IF(AND('R9'!$S$4="Multi",'R9'!$R$4="FY"),ROUND(((1+'R9'!$M19)^('W9'!$B$20)*'W9'!$D$9+(1+'R9'!$M19)^('W9'!$B$20+1)*'W9'!$D$10)/'W9'!$D$5*'R9'!$E19,0),(IF(AND('R9'!$S$4="Multi",'R9'!$R$4="PY"),ROUND('R9'!$E19*(1+'R9'!$M19)/'W9'!$D$5*'W9'!$D$5,0),(IF(AND('R9'!$S$4&lt;&gt;"Multi",'R9'!$R$4="FY"),ROUND(((1+'R9'!$S$4)^('W9'!$B$20)*'W9'!$D$9+(1+'R9'!$S$4)^('W9'!$B$20+1)*'W9'!$D$10)/'W9'!$D$5*'R9'!$E19,0),ROUND('R9'!$E19*(1+'R9'!$S$4)/'W9'!$D$5*'W9'!$D$5,0))))))),(IF(AND('R9'!$S$4="Multi",'R9'!$R$4="FY"),ROUND(((1+'R9'!$M19)^('W9'!$B$20+1)*'W9'!$D$9+(1+'R9'!$M19)^('W9'!$B$20+2)*'W9'!$D$10)/'W9'!$D$5*'R9'!$E19,0),(IF(AND('R9'!$S$4="Multi",'R9'!$R$4="PY"),ROUND('R9'!$E19*(1+'R9'!$M19)/'W9'!$D$5*'W9'!$D$5,0),(IF(AND('R9'!$S$4&lt;&gt;"Multi",'R9'!$R$4="FY"),ROUND(((1+'R9'!$S$4)^('W9'!$B$20+1)*'W9'!$D$9+(1+'R9'!$S$4)^('W9'!$B$20+2)*'W9'!$D$10)/'W9'!$D$5*'R9'!$E19,0),ROUND('R9'!$E19*(1+'R9'!$S$4)/'W9'!$D$5*'W9'!$D$5,0)))))))))</f>
        <v>0</v>
      </c>
      <c r="E339" s="300"/>
      <c r="F339" s="302">
        <f ca="1">IF('W9'!$E$5=0,"",IF($C$4=$D$4,(IF(AND('R9'!$S$4="Multi",'R9'!$R$4="FY"),ROUND(((1+'R9'!$M19)^('W9'!$B$20+1)*'W9'!$E$9+(1+'R9'!$M19)^('W9'!$B$20+3)*'W9'!$E$10)/'W9'!$E$5*'R9'!$E19,0),(IF(AND('R9'!$S$4="Multi",'R9'!$R$4="PY"),ROUND('R9'!$E19*((1+'R9'!$M19)^2)/'W9'!$E$5*'W9'!$E$5,0),(IF(AND('R9'!$S$4&lt;&gt;"Multi",'R9'!$R$4="FY"),ROUND(((1+'R9'!$S$4)^('W9'!$B$20+1)*'W9'!$E$9+(1+'R9'!$S$4)^('W9'!$B$20+2)*'W9'!$E$10)/'W9'!$E$5*'R9'!$E19,0),ROUND('R9'!$E19*((1+'R9'!$S$4)^2)/'W9'!$E$5*'W9'!$E$5,0))))))),(IF(AND('R9'!$S$4="Multi",'R9'!$R$4="FY"),ROUND(((1+'R9'!$M19)^('W9'!$B$20+2)*'W9'!$E$9+(1+'R9'!$M19)^('W9'!$B$20+3)*'W9'!$E$10)/'W9'!$E$5*'R9'!$E19,0),(IF(AND('R9'!$S$4="Multi",'R9'!$R$4="PY"),ROUND('R9'!$E19*((1+'R9'!$M19)^2)/'W9'!$E$5*'W9'!$E$5,0),(IF(AND('R9'!$S$4&lt;&gt;"Multi",'R9'!$R$4="FY"),ROUND(((1+'R9'!$S$4)^('W9'!$B$20+2)*'W9'!$E$9+(1+'R9'!$S$4)^('W9'!$B$20+3)*'W9'!$E$10)/'W9'!$E$5*'R9'!$E19,0),ROUND('R9'!$E19*((1+'R9'!$S$4)^2)/'W9'!$E$5*'W9'!$E$5,0)))))))))</f>
        <v>0</v>
      </c>
      <c r="G339" s="300"/>
      <c r="H339" s="302">
        <f ca="1">IF('W9'!$F$5=0,"",IF($C$4=$D$4,(IF(AND('R9'!$S$4="Multi",'R9'!$R$4="FY"),ROUND(((1+'R9'!$M19)^('W9'!$B$20+2)*'W9'!$F$9+(1+'R9'!$M19)^('W9'!$B$20+3)*'W9'!$F$10)/'W9'!$F$5*'R9'!$E19,0),(IF(AND('R9'!$S$4="Multi",'R9'!$R$4="PY"),ROUND('R9'!$E19*((1+'R9'!$M19)^3)/'W9'!$F$5*'W9'!$F$5,0),(IF(AND('R9'!$S$4&lt;&gt;"Multi",'R9'!$R$4="FY"),ROUND(((1+'R9'!$S$4)^('W9'!$B$20+2)*'W9'!$F$9+(1+'R9'!$S$4)^('W9'!$B$20+3)*'W9'!$F$10)/'W9'!$F$5*'R9'!$E19,0),ROUND('R9'!$E19*((1+'R9'!$S$4)^3)/'W9'!$F$5*'W9'!$F$5,0))))))),(IF(AND('R9'!$S$4="Multi",'R9'!$R$4="FY"),ROUND(((1+'R9'!$M19)^('W9'!$B$20+3)*'W9'!$F$9+(1+'R9'!$M19)^('W9'!$B$20+4)*'W9'!$F$10)/'W9'!$F$5*'R9'!$E19,0),(IF(AND('R9'!$S$4="Multi",'R9'!$R$4="PY"),ROUND('R9'!$E19*((1+'R9'!$M19)^3)/'W9'!$F$5*'W9'!$F$5,0),(IF(AND('R9'!$S$4&lt;&gt;"Multi",'R9'!$R$4="FY"),ROUND(((1+'R9'!$S$4)^('W9'!$B$20+3)*'W9'!$F$9+(1+'R9'!$S$4)^('W9'!$B$20+4)*'W9'!$F$10)/'W9'!$F$5*'R9'!$E19,0),ROUND('R9'!$E19*((1+'R9'!$S$4)^3)/'W9'!$F$5*'W9'!$F$5,0)))))))))</f>
        <v>0</v>
      </c>
      <c r="I339" s="300"/>
      <c r="J339" s="302">
        <f ca="1">IF('W9'!$G$5=0,"",IF($C$4=$D$4,(IF(AND('R9'!$S$4="Multi",'R9'!$R$4="FY"),ROUND(((1+'R9'!$M19)^('W9'!$B$20+3)*'W9'!$G$9+(1+'R9'!$M19)^('W9'!$B$20+4)*'W9'!$G$10)/'W9'!$G$5*'R9'!$E19,0),(IF(AND('R9'!$S$4="Multi",'R9'!$R$4="PY"),ROUND('R9'!$E19*((1+'R9'!$M19)^4)/'W9'!$G$5*'W9'!$G$5,0),(IF(AND('R9'!$S$4&lt;&gt;"Multi",'R9'!$R$4="FY"),ROUND(((1+'R9'!$S$4)^('W9'!$B$20+3)*'W9'!$G$9+(1+'R9'!$S$4)^('W9'!$B$20+4)*'W9'!$G$10)/'W9'!$G$5*'R9'!$E19,0),ROUND('R9'!$E19*((1+'R9'!$S$4)^4)/'W9'!$G$5*'W9'!$G$5,0))))))),(IF(AND('R9'!$S$4="Multi",'R9'!$R$4="FY"),ROUND(((1+'R9'!$M19)^('W9'!$B$20+4)*'W9'!$G$9+(1+'R9'!$M19)^('W9'!$B$20+5)*'W9'!$G$10)/'W9'!$G$5*'R9'!$E19,0),(IF(AND('R9'!$S$4="Multi",'R9'!$R$4="PY"),ROUND('R9'!$E19*((1+'R9'!$M19)^4)/'W9'!$G$5*'W9'!$G$5,0),(IF(AND('R9'!$S$4&lt;&gt;"Multi",'R9'!$R$4="FY"),ROUND(((1+'R9'!$S$4)^('W9'!$B$20+4)*'W9'!$G$9+(1+'R9'!$S$4)^('W9'!$B$20+5)*'W9'!$G$10)/'W9'!$G$5*'R9'!$E19,0),ROUND('R9'!$E19*((1+'R9'!$S$4)^4)/'W9'!$G$5*'W9'!$G$5,0)))))))))</f>
        <v>0</v>
      </c>
      <c r="K339" s="300"/>
    </row>
    <row r="340" spans="1:11" x14ac:dyDescent="0.2">
      <c r="A340" s="82">
        <f>'P9'!B15</f>
        <v>0</v>
      </c>
      <c r="B340" s="302">
        <f ca="1">IF('W9'!$C$5=0,"",IF(AND('R9'!$S$4="Multi",'R9'!$R$4="FY"),ROUND(((1+'R9'!$M20)^'W9'!$B$20*'W9'!$C$9+(1+'R9'!$M20)^('W9'!$B$20+1)*'W9'!$C$10)/('W9'!$C$5)*'R9'!$E20,0),(IF(AND('R9'!$S$4="Multi",'R9'!$R$4="PY"),ROUND('R9'!$E20/('W9'!$C$5)*'W9'!$C$5,0),(IF(AND('R9'!$S$4&lt;&gt;"Multi",'R9'!$R$4="FY"),ROUND(((1+'R9'!$S$4)^'W9'!$B$20*'W9'!$C$9+(1+'R9'!$S$4)^('W9'!$B$20+1)*'W9'!$C$10)/'W9'!$C$5*'R9'!$E20,0),ROUND('R9'!$E20/'W9'!$C$5*'W9'!$C$5,0)))))))</f>
        <v>0</v>
      </c>
      <c r="C340" s="300"/>
      <c r="D340" s="302">
        <f ca="1">IF('W9'!$D$5=0,"",IF($C$4=$D$4,(IF(AND('R9'!$S$4="Multi",'R9'!$R$4="FY"),ROUND(((1+'R9'!$M20)^('W9'!$B$20)*'W9'!$D$9+(1+'R9'!$M20)^('W9'!$B$20+1)*'W9'!$D$10)/'W9'!$D$5*'R9'!$E20,0),(IF(AND('R9'!$S$4="Multi",'R9'!$R$4="PY"),ROUND('R9'!$E20*(1+'R9'!$M20)/'W9'!$D$5*'W9'!$D$5,0),(IF(AND('R9'!$S$4&lt;&gt;"Multi",'R9'!$R$4="FY"),ROUND(((1+'R9'!$S$4)^('W9'!$B$20)*'W9'!$D$9+(1+'R9'!$S$4)^('W9'!$B$20+1)*'W9'!$D$10)/'W9'!$D$5*'R9'!$E20,0),ROUND('R9'!$E20*(1+'R9'!$S$4)/'W9'!$D$5*'W9'!$D$5,0))))))),(IF(AND('R9'!$S$4="Multi",'R9'!$R$4="FY"),ROUND(((1+'R9'!$M20)^('W9'!$B$20+1)*'W9'!$D$9+(1+'R9'!$M20)^('W9'!$B$20+2)*'W9'!$D$10)/'W9'!$D$5*'R9'!$E20,0),(IF(AND('R9'!$S$4="Multi",'R9'!$R$4="PY"),ROUND('R9'!$E20*(1+'R9'!$M20)/'W9'!$D$5*'W9'!$D$5,0),(IF(AND('R9'!$S$4&lt;&gt;"Multi",'R9'!$R$4="FY"),ROUND(((1+'R9'!$S$4)^('W9'!$B$20+1)*'W9'!$D$9+(1+'R9'!$S$4)^('W9'!$B$20+2)*'W9'!$D$10)/'W9'!$D$5*'R9'!$E20,0),ROUND('R9'!$E20*(1+'R9'!$S$4)/'W9'!$D$5*'W9'!$D$5,0)))))))))</f>
        <v>0</v>
      </c>
      <c r="E340" s="300"/>
      <c r="F340" s="302">
        <f ca="1">IF('W9'!$E$5=0,"",IF($C$4=$D$4,(IF(AND('R9'!$S$4="Multi",'R9'!$R$4="FY"),ROUND(((1+'R9'!$M20)^('W9'!$B$20+1)*'W9'!$E$9+(1+'R9'!$M20)^('W9'!$B$20+3)*'W9'!$E$10)/'W9'!$E$5*'R9'!$E20,0),(IF(AND('R9'!$S$4="Multi",'R9'!$R$4="PY"),ROUND('R9'!$E20*((1+'R9'!$M20)^2)/'W9'!$E$5*'W9'!$E$5,0),(IF(AND('R9'!$S$4&lt;&gt;"Multi",'R9'!$R$4="FY"),ROUND(((1+'R9'!$S$4)^('W9'!$B$20+1)*'W9'!$E$9+(1+'R9'!$S$4)^('W9'!$B$20+2)*'W9'!$E$10)/'W9'!$E$5*'R9'!$E20,0),ROUND('R9'!$E20*((1+'R9'!$S$4)^2)/'W9'!$E$5*'W9'!$E$5,0))))))),(IF(AND('R9'!$S$4="Multi",'R9'!$R$4="FY"),ROUND(((1+'R9'!$M20)^('W9'!$B$20+2)*'W9'!$E$9+(1+'R9'!$M20)^('W9'!$B$20+3)*'W9'!$E$10)/'W9'!$E$5*'R9'!$E20,0),(IF(AND('R9'!$S$4="Multi",'R9'!$R$4="PY"),ROUND('R9'!$E20*((1+'R9'!$M20)^2)/'W9'!$E$5*'W9'!$E$5,0),(IF(AND('R9'!$S$4&lt;&gt;"Multi",'R9'!$R$4="FY"),ROUND(((1+'R9'!$S$4)^('W9'!$B$20+2)*'W9'!$E$9+(1+'R9'!$S$4)^('W9'!$B$20+3)*'W9'!$E$10)/'W9'!$E$5*'R9'!$E20,0),ROUND('R9'!$E20*((1+'R9'!$S$4)^2)/'W9'!$E$5*'W9'!$E$5,0)))))))))</f>
        <v>0</v>
      </c>
      <c r="G340" s="300"/>
      <c r="H340" s="302">
        <f ca="1">IF('W9'!$F$5=0,"",IF($C$4=$D$4,(IF(AND('R9'!$S$4="Multi",'R9'!$R$4="FY"),ROUND(((1+'R9'!$M20)^('W9'!$B$20+2)*'W9'!$F$9+(1+'R9'!$M20)^('W9'!$B$20+3)*'W9'!$F$10)/'W9'!$F$5*'R9'!$E20,0),(IF(AND('R9'!$S$4="Multi",'R9'!$R$4="PY"),ROUND('R9'!$E20*((1+'R9'!$M20)^3)/'W9'!$F$5*'W9'!$F$5,0),(IF(AND('R9'!$S$4&lt;&gt;"Multi",'R9'!$R$4="FY"),ROUND(((1+'R9'!$S$4)^('W9'!$B$20+2)*'W9'!$F$9+(1+'R9'!$S$4)^('W9'!$B$20+3)*'W9'!$F$10)/'W9'!$F$5*'R9'!$E20,0),ROUND('R9'!$E20*((1+'R9'!$S$4)^3)/'W9'!$F$5*'W9'!$F$5,0))))))),(IF(AND('R9'!$S$4="Multi",'R9'!$R$4="FY"),ROUND(((1+'R9'!$M20)^('W9'!$B$20+3)*'W9'!$F$9+(1+'R9'!$M20)^('W9'!$B$20+4)*'W9'!$F$10)/'W9'!$F$5*'R9'!$E20,0),(IF(AND('R9'!$S$4="Multi",'R9'!$R$4="PY"),ROUND('R9'!$E20*((1+'R9'!$M20)^3)/'W9'!$F$5*'W9'!$F$5,0),(IF(AND('R9'!$S$4&lt;&gt;"Multi",'R9'!$R$4="FY"),ROUND(((1+'R9'!$S$4)^('W9'!$B$20+3)*'W9'!$F$9+(1+'R9'!$S$4)^('W9'!$B$20+4)*'W9'!$F$10)/'W9'!$F$5*'R9'!$E20,0),ROUND('R9'!$E20*((1+'R9'!$S$4)^3)/'W9'!$F$5*'W9'!$F$5,0)))))))))</f>
        <v>0</v>
      </c>
      <c r="I340" s="300"/>
      <c r="J340" s="302">
        <f ca="1">IF('W9'!$G$5=0,"",IF($C$4=$D$4,(IF(AND('R9'!$S$4="Multi",'R9'!$R$4="FY"),ROUND(((1+'R9'!$M20)^('W9'!$B$20+3)*'W9'!$G$9+(1+'R9'!$M20)^('W9'!$B$20+4)*'W9'!$G$10)/'W9'!$G$5*'R9'!$E20,0),(IF(AND('R9'!$S$4="Multi",'R9'!$R$4="PY"),ROUND('R9'!$E20*((1+'R9'!$M20)^4)/'W9'!$G$5*'W9'!$G$5,0),(IF(AND('R9'!$S$4&lt;&gt;"Multi",'R9'!$R$4="FY"),ROUND(((1+'R9'!$S$4)^('W9'!$B$20+3)*'W9'!$G$9+(1+'R9'!$S$4)^('W9'!$B$20+4)*'W9'!$G$10)/'W9'!$G$5*'R9'!$E20,0),ROUND('R9'!$E20*((1+'R9'!$S$4)^4)/'W9'!$G$5*'W9'!$G$5,0))))))),(IF(AND('R9'!$S$4="Multi",'R9'!$R$4="FY"),ROUND(((1+'R9'!$M20)^('W9'!$B$20+4)*'W9'!$G$9+(1+'R9'!$M20)^('W9'!$B$20+5)*'W9'!$G$10)/'W9'!$G$5*'R9'!$E20,0),(IF(AND('R9'!$S$4="Multi",'R9'!$R$4="PY"),ROUND('R9'!$E20*((1+'R9'!$M20)^4)/'W9'!$G$5*'W9'!$G$5,0),(IF(AND('R9'!$S$4&lt;&gt;"Multi",'R9'!$R$4="FY"),ROUND(((1+'R9'!$S$4)^('W9'!$B$20+4)*'W9'!$G$9+(1+'R9'!$S$4)^('W9'!$B$20+5)*'W9'!$G$10)/'W9'!$G$5*'R9'!$E20,0),ROUND('R9'!$E20*((1+'R9'!$S$4)^4)/'W9'!$G$5*'W9'!$G$5,0)))))))))</f>
        <v>0</v>
      </c>
      <c r="K340" s="300"/>
    </row>
    <row r="341" spans="1:11" x14ac:dyDescent="0.2">
      <c r="A341" s="82">
        <f>'P9'!B16</f>
        <v>0</v>
      </c>
      <c r="B341" s="302">
        <f ca="1">IF('W9'!$C$5=0,"",IF(AND('R9'!$S$4="Multi",'R9'!$R$4="FY"),ROUND(((1+'R9'!$M21)^'W9'!$B$20*'W9'!$C$9+(1+'R9'!$M21)^('W9'!$B$20+1)*'W9'!$C$10)/('W9'!$C$5)*'R9'!$E21,0),(IF(AND('R9'!$S$4="Multi",'R9'!$R$4="PY"),ROUND('R9'!$E21/('W9'!$C$5)*'W9'!$C$5,0),(IF(AND('R9'!$S$4&lt;&gt;"Multi",'R9'!$R$4="FY"),ROUND(((1+'R9'!$S$4)^'W9'!$B$20*'W9'!$C$9+(1+'R9'!$S$4)^('W9'!$B$20+1)*'W9'!$C$10)/'W9'!$C$5*'R9'!$E21,0),ROUND('R9'!$E21/'W9'!$C$5*'W9'!$C$5,0)))))))</f>
        <v>0</v>
      </c>
      <c r="C341" s="300"/>
      <c r="D341" s="302">
        <f ca="1">IF('W9'!$D$5=0,"",IF($C$4=$D$4,(IF(AND('R9'!$S$4="Multi",'R9'!$R$4="FY"),ROUND(((1+'R9'!$M21)^('W9'!$B$20)*'W9'!$D$9+(1+'R9'!$M21)^('W9'!$B$20+1)*'W9'!$D$10)/'W9'!$D$5*'R9'!$E21,0),(IF(AND('R9'!$S$4="Multi",'R9'!$R$4="PY"),ROUND('R9'!$E21*(1+'R9'!$M21)/'W9'!$D$5*'W9'!$D$5,0),(IF(AND('R9'!$S$4&lt;&gt;"Multi",'R9'!$R$4="FY"),ROUND(((1+'R9'!$S$4)^('W9'!$B$20)*'W9'!$D$9+(1+'R9'!$S$4)^('W9'!$B$20+1)*'W9'!$D$10)/'W9'!$D$5*'R9'!$E21,0),ROUND('R9'!$E21*(1+'R9'!$S$4)/'W9'!$D$5*'W9'!$D$5,0))))))),(IF(AND('R9'!$S$4="Multi",'R9'!$R$4="FY"),ROUND(((1+'R9'!$M21)^('W9'!$B$20+1)*'W9'!$D$9+(1+'R9'!$M21)^('W9'!$B$20+2)*'W9'!$D$10)/'W9'!$D$5*'R9'!$E21,0),(IF(AND('R9'!$S$4="Multi",'R9'!$R$4="PY"),ROUND('R9'!$E21*(1+'R9'!$M21)/'W9'!$D$5*'W9'!$D$5,0),(IF(AND('R9'!$S$4&lt;&gt;"Multi",'R9'!$R$4="FY"),ROUND(((1+'R9'!$S$4)^('W9'!$B$20+1)*'W9'!$D$9+(1+'R9'!$S$4)^('W9'!$B$20+2)*'W9'!$D$10)/'W9'!$D$5*'R9'!$E21,0),ROUND('R9'!$E21*(1+'R9'!$S$4)/'W9'!$D$5*'W9'!$D$5,0)))))))))</f>
        <v>0</v>
      </c>
      <c r="E341" s="300"/>
      <c r="F341" s="302">
        <f ca="1">IF('W9'!$E$5=0,"",IF($C$4=$D$4,(IF(AND('R9'!$S$4="Multi",'R9'!$R$4="FY"),ROUND(((1+'R9'!$M21)^('W9'!$B$20+1)*'W9'!$E$9+(1+'R9'!$M21)^('W9'!$B$20+3)*'W9'!$E$10)/'W9'!$E$5*'R9'!$E21,0),(IF(AND('R9'!$S$4="Multi",'R9'!$R$4="PY"),ROUND('R9'!$E21*((1+'R9'!$M21)^2)/'W9'!$E$5*'W9'!$E$5,0),(IF(AND('R9'!$S$4&lt;&gt;"Multi",'R9'!$R$4="FY"),ROUND(((1+'R9'!$S$4)^('W9'!$B$20+1)*'W9'!$E$9+(1+'R9'!$S$4)^('W9'!$B$20+2)*'W9'!$E$10)/'W9'!$E$5*'R9'!$E21,0),ROUND('R9'!$E21*((1+'R9'!$S$4)^2)/'W9'!$E$5*'W9'!$E$5,0))))))),(IF(AND('R9'!$S$4="Multi",'R9'!$R$4="FY"),ROUND(((1+'R9'!$M21)^('W9'!$B$20+2)*'W9'!$E$9+(1+'R9'!$M21)^('W9'!$B$20+3)*'W9'!$E$10)/'W9'!$E$5*'R9'!$E21,0),(IF(AND('R9'!$S$4="Multi",'R9'!$R$4="PY"),ROUND('R9'!$E21*((1+'R9'!$M21)^2)/'W9'!$E$5*'W9'!$E$5,0),(IF(AND('R9'!$S$4&lt;&gt;"Multi",'R9'!$R$4="FY"),ROUND(((1+'R9'!$S$4)^('W9'!$B$20+2)*'W9'!$E$9+(1+'R9'!$S$4)^('W9'!$B$20+3)*'W9'!$E$10)/'W9'!$E$5*'R9'!$E21,0),ROUND('R9'!$E21*((1+'R9'!$S$4)^2)/'W9'!$E$5*'W9'!$E$5,0)))))))))</f>
        <v>0</v>
      </c>
      <c r="G341" s="300"/>
      <c r="H341" s="302">
        <f ca="1">IF('W9'!$F$5=0,"",IF($C$4=$D$4,(IF(AND('R9'!$S$4="Multi",'R9'!$R$4="FY"),ROUND(((1+'R9'!$M21)^('W9'!$B$20+2)*'W9'!$F$9+(1+'R9'!$M21)^('W9'!$B$20+3)*'W9'!$F$10)/'W9'!$F$5*'R9'!$E21,0),(IF(AND('R9'!$S$4="Multi",'R9'!$R$4="PY"),ROUND('R9'!$E21*((1+'R9'!$M21)^3)/'W9'!$F$5*'W9'!$F$5,0),(IF(AND('R9'!$S$4&lt;&gt;"Multi",'R9'!$R$4="FY"),ROUND(((1+'R9'!$S$4)^('W9'!$B$20+2)*'W9'!$F$9+(1+'R9'!$S$4)^('W9'!$B$20+3)*'W9'!$F$10)/'W9'!$F$5*'R9'!$E21,0),ROUND('R9'!$E21*((1+'R9'!$S$4)^3)/'W9'!$F$5*'W9'!$F$5,0))))))),(IF(AND('R9'!$S$4="Multi",'R9'!$R$4="FY"),ROUND(((1+'R9'!$M21)^('W9'!$B$20+3)*'W9'!$F$9+(1+'R9'!$M21)^('W9'!$B$20+4)*'W9'!$F$10)/'W9'!$F$5*'R9'!$E21,0),(IF(AND('R9'!$S$4="Multi",'R9'!$R$4="PY"),ROUND('R9'!$E21*((1+'R9'!$M21)^3)/'W9'!$F$5*'W9'!$F$5,0),(IF(AND('R9'!$S$4&lt;&gt;"Multi",'R9'!$R$4="FY"),ROUND(((1+'R9'!$S$4)^('W9'!$B$20+3)*'W9'!$F$9+(1+'R9'!$S$4)^('W9'!$B$20+4)*'W9'!$F$10)/'W9'!$F$5*'R9'!$E21,0),ROUND('R9'!$E21*((1+'R9'!$S$4)^3)/'W9'!$F$5*'W9'!$F$5,0)))))))))</f>
        <v>0</v>
      </c>
      <c r="I341" s="300"/>
      <c r="J341" s="302">
        <f ca="1">IF('W9'!$G$5=0,"",IF($C$4=$D$4,(IF(AND('R9'!$S$4="Multi",'R9'!$R$4="FY"),ROUND(((1+'R9'!$M21)^('W9'!$B$20+3)*'W9'!$G$9+(1+'R9'!$M21)^('W9'!$B$20+4)*'W9'!$G$10)/'W9'!$G$5*'R9'!$E21,0),(IF(AND('R9'!$S$4="Multi",'R9'!$R$4="PY"),ROUND('R9'!$E21*((1+'R9'!$M21)^4)/'W9'!$G$5*'W9'!$G$5,0),(IF(AND('R9'!$S$4&lt;&gt;"Multi",'R9'!$R$4="FY"),ROUND(((1+'R9'!$S$4)^('W9'!$B$20+3)*'W9'!$G$9+(1+'R9'!$S$4)^('W9'!$B$20+4)*'W9'!$G$10)/'W9'!$G$5*'R9'!$E21,0),ROUND('R9'!$E21*((1+'R9'!$S$4)^4)/'W9'!$G$5*'W9'!$G$5,0))))))),(IF(AND('R9'!$S$4="Multi",'R9'!$R$4="FY"),ROUND(((1+'R9'!$M21)^('W9'!$B$20+4)*'W9'!$G$9+(1+'R9'!$M21)^('W9'!$B$20+5)*'W9'!$G$10)/'W9'!$G$5*'R9'!$E21,0),(IF(AND('R9'!$S$4="Multi",'R9'!$R$4="PY"),ROUND('R9'!$E21*((1+'R9'!$M21)^4)/'W9'!$G$5*'W9'!$G$5,0),(IF(AND('R9'!$S$4&lt;&gt;"Multi",'R9'!$R$4="FY"),ROUND(((1+'R9'!$S$4)^('W9'!$B$20+4)*'W9'!$G$9+(1+'R9'!$S$4)^('W9'!$B$20+5)*'W9'!$G$10)/'W9'!$G$5*'R9'!$E21,0),ROUND('R9'!$E21*((1+'R9'!$S$4)^4)/'W9'!$G$5*'W9'!$G$5,0)))))))))</f>
        <v>0</v>
      </c>
      <c r="K341" s="300"/>
    </row>
    <row r="342" spans="1:11" x14ac:dyDescent="0.2">
      <c r="A342" s="82">
        <f>'P9'!B17</f>
        <v>0</v>
      </c>
      <c r="B342" s="302">
        <f ca="1">IF('W9'!$C$5=0,"",IF(AND('R9'!$S$4="Multi",'R9'!$R$4="FY"),ROUND(((1+'R9'!$M22)^'W9'!$B$20*'W9'!$C$9+(1+'R9'!$M22)^('W9'!$B$20+1)*'W9'!$C$10)/('W9'!$C$5)*'R9'!$E22,0),(IF(AND('R9'!$S$4="Multi",'R9'!$R$4="PY"),ROUND('R9'!$E22/('W9'!$C$5)*'W9'!$C$5,0),(IF(AND('R9'!$S$4&lt;&gt;"Multi",'R9'!$R$4="FY"),ROUND(((1+'R9'!$S$4)^'W9'!$B$20*'W9'!$C$9+(1+'R9'!$S$4)^('W9'!$B$20+1)*'W9'!$C$10)/'W9'!$C$5*'R9'!$E22,0),ROUND('R9'!$E22/'W9'!$C$5*'W9'!$C$5,0)))))))</f>
        <v>0</v>
      </c>
      <c r="C342" s="300"/>
      <c r="D342" s="302">
        <f ca="1">IF('W9'!$D$5=0,"",IF($C$4=$D$4,(IF(AND('R9'!$S$4="Multi",'R9'!$R$4="FY"),ROUND(((1+'R9'!$M22)^('W9'!$B$20)*'W9'!$D$9+(1+'R9'!$M22)^('W9'!$B$20+1)*'W9'!$D$10)/'W9'!$D$5*'R9'!$E22,0),(IF(AND('R9'!$S$4="Multi",'R9'!$R$4="PY"),ROUND('R9'!$E22*(1+'R9'!$M22)/'W9'!$D$5*'W9'!$D$5,0),(IF(AND('R9'!$S$4&lt;&gt;"Multi",'R9'!$R$4="FY"),ROUND(((1+'R9'!$S$4)^('W9'!$B$20)*'W9'!$D$9+(1+'R9'!$S$4)^('W9'!$B$20+1)*'W9'!$D$10)/'W9'!$D$5*'R9'!$E22,0),ROUND('R9'!$E22*(1+'R9'!$S$4)/'W9'!$D$5*'W9'!$D$5,0))))))),(IF(AND('R9'!$S$4="Multi",'R9'!$R$4="FY"),ROUND(((1+'R9'!$M22)^('W9'!$B$20+1)*'W9'!$D$9+(1+'R9'!$M22)^('W9'!$B$20+2)*'W9'!$D$10)/'W9'!$D$5*'R9'!$E22,0),(IF(AND('R9'!$S$4="Multi",'R9'!$R$4="PY"),ROUND('R9'!$E22*(1+'R9'!$M22)/'W9'!$D$5*'W9'!$D$5,0),(IF(AND('R9'!$S$4&lt;&gt;"Multi",'R9'!$R$4="FY"),ROUND(((1+'R9'!$S$4)^('W9'!$B$20+1)*'W9'!$D$9+(1+'R9'!$S$4)^('W9'!$B$20+2)*'W9'!$D$10)/'W9'!$D$5*'R9'!$E22,0),ROUND('R9'!$E22*(1+'R9'!$S$4)/'W9'!$D$5*'W9'!$D$5,0)))))))))</f>
        <v>0</v>
      </c>
      <c r="E342" s="300"/>
      <c r="F342" s="302">
        <f ca="1">IF('W9'!$E$5=0,"",IF($C$4=$D$4,(IF(AND('R9'!$S$4="Multi",'R9'!$R$4="FY"),ROUND(((1+'R9'!$M22)^('W9'!$B$20+1)*'W9'!$E$9+(1+'R9'!$M22)^('W9'!$B$20+3)*'W9'!$E$10)/'W9'!$E$5*'R9'!$E22,0),(IF(AND('R9'!$S$4="Multi",'R9'!$R$4="PY"),ROUND('R9'!$E22*((1+'R9'!$M22)^2)/'W9'!$E$5*'W9'!$E$5,0),(IF(AND('R9'!$S$4&lt;&gt;"Multi",'R9'!$R$4="FY"),ROUND(((1+'R9'!$S$4)^('W9'!$B$20+1)*'W9'!$E$9+(1+'R9'!$S$4)^('W9'!$B$20+2)*'W9'!$E$10)/'W9'!$E$5*'R9'!$E22,0),ROUND('R9'!$E22*((1+'R9'!$S$4)^2)/'W9'!$E$5*'W9'!$E$5,0))))))),(IF(AND('R9'!$S$4="Multi",'R9'!$R$4="FY"),ROUND(((1+'R9'!$M22)^('W9'!$B$20+2)*'W9'!$E$9+(1+'R9'!$M22)^('W9'!$B$20+3)*'W9'!$E$10)/'W9'!$E$5*'R9'!$E22,0),(IF(AND('R9'!$S$4="Multi",'R9'!$R$4="PY"),ROUND('R9'!$E22*((1+'R9'!$M22)^2)/'W9'!$E$5*'W9'!$E$5,0),(IF(AND('R9'!$S$4&lt;&gt;"Multi",'R9'!$R$4="FY"),ROUND(((1+'R9'!$S$4)^('W9'!$B$20+2)*'W9'!$E$9+(1+'R9'!$S$4)^('W9'!$B$20+3)*'W9'!$E$10)/'W9'!$E$5*'R9'!$E22,0),ROUND('R9'!$E22*((1+'R9'!$S$4)^2)/'W9'!$E$5*'W9'!$E$5,0)))))))))</f>
        <v>0</v>
      </c>
      <c r="G342" s="300"/>
      <c r="H342" s="302">
        <f ca="1">IF('W9'!$F$5=0,"",IF($C$4=$D$4,(IF(AND('R9'!$S$4="Multi",'R9'!$R$4="FY"),ROUND(((1+'R9'!$M22)^('W9'!$B$20+2)*'W9'!$F$9+(1+'R9'!$M22)^('W9'!$B$20+3)*'W9'!$F$10)/'W9'!$F$5*'R9'!$E22,0),(IF(AND('R9'!$S$4="Multi",'R9'!$R$4="PY"),ROUND('R9'!$E22*((1+'R9'!$M22)^3)/'W9'!$F$5*'W9'!$F$5,0),(IF(AND('R9'!$S$4&lt;&gt;"Multi",'R9'!$R$4="FY"),ROUND(((1+'R9'!$S$4)^('W9'!$B$20+2)*'W9'!$F$9+(1+'R9'!$S$4)^('W9'!$B$20+3)*'W9'!$F$10)/'W9'!$F$5*'R9'!$E22,0),ROUND('R9'!$E22*((1+'R9'!$S$4)^3)/'W9'!$F$5*'W9'!$F$5,0))))))),(IF(AND('R9'!$S$4="Multi",'R9'!$R$4="FY"),ROUND(((1+'R9'!$M22)^('W9'!$B$20+3)*'W9'!$F$9+(1+'R9'!$M22)^('W9'!$B$20+4)*'W9'!$F$10)/'W9'!$F$5*'R9'!$E22,0),(IF(AND('R9'!$S$4="Multi",'R9'!$R$4="PY"),ROUND('R9'!$E22*((1+'R9'!$M22)^3)/'W9'!$F$5*'W9'!$F$5,0),(IF(AND('R9'!$S$4&lt;&gt;"Multi",'R9'!$R$4="FY"),ROUND(((1+'R9'!$S$4)^('W9'!$B$20+3)*'W9'!$F$9+(1+'R9'!$S$4)^('W9'!$B$20+4)*'W9'!$F$10)/'W9'!$F$5*'R9'!$E22,0),ROUND('R9'!$E22*((1+'R9'!$S$4)^3)/'W9'!$F$5*'W9'!$F$5,0)))))))))</f>
        <v>0</v>
      </c>
      <c r="I342" s="300"/>
      <c r="J342" s="302">
        <f ca="1">IF('W9'!$G$5=0,"",IF($C$4=$D$4,(IF(AND('R9'!$S$4="Multi",'R9'!$R$4="FY"),ROUND(((1+'R9'!$M22)^('W9'!$B$20+3)*'W9'!$G$9+(1+'R9'!$M22)^('W9'!$B$20+4)*'W9'!$G$10)/'W9'!$G$5*'R9'!$E22,0),(IF(AND('R9'!$S$4="Multi",'R9'!$R$4="PY"),ROUND('R9'!$E22*((1+'R9'!$M22)^4)/'W9'!$G$5*'W9'!$G$5,0),(IF(AND('R9'!$S$4&lt;&gt;"Multi",'R9'!$R$4="FY"),ROUND(((1+'R9'!$S$4)^('W9'!$B$20+3)*'W9'!$G$9+(1+'R9'!$S$4)^('W9'!$B$20+4)*'W9'!$G$10)/'W9'!$G$5*'R9'!$E22,0),ROUND('R9'!$E22*((1+'R9'!$S$4)^4)/'W9'!$G$5*'W9'!$G$5,0))))))),(IF(AND('R9'!$S$4="Multi",'R9'!$R$4="FY"),ROUND(((1+'R9'!$M22)^('W9'!$B$20+4)*'W9'!$G$9+(1+'R9'!$M22)^('W9'!$B$20+5)*'W9'!$G$10)/'W9'!$G$5*'R9'!$E22,0),(IF(AND('R9'!$S$4="Multi",'R9'!$R$4="PY"),ROUND('R9'!$E22*((1+'R9'!$M22)^4)/'W9'!$G$5*'W9'!$G$5,0),(IF(AND('R9'!$S$4&lt;&gt;"Multi",'R9'!$R$4="FY"),ROUND(((1+'R9'!$S$4)^('W9'!$B$20+4)*'W9'!$G$9+(1+'R9'!$S$4)^('W9'!$B$20+5)*'W9'!$G$10)/'W9'!$G$5*'R9'!$E22,0),ROUND('R9'!$E22*((1+'R9'!$S$4)^4)/'W9'!$G$5*'W9'!$G$5,0)))))))))</f>
        <v>0</v>
      </c>
      <c r="K342" s="300"/>
    </row>
    <row r="343" spans="1:11" x14ac:dyDescent="0.2">
      <c r="A343" s="82">
        <f>'P9'!B18</f>
        <v>0</v>
      </c>
      <c r="B343" s="302">
        <f ca="1">IF('W9'!$C$5=0,"",IF(AND('R9'!$S$4="Multi",'R9'!$R$4="FY"),ROUND(((1+'R9'!$M23)^'W9'!$B$20*'W9'!$C$9+(1+'R9'!$M23)^('W9'!$B$20+1)*'W9'!$C$10)/('W9'!$C$5)*'R9'!$E23,0),(IF(AND('R9'!$S$4="Multi",'R9'!$R$4="PY"),ROUND('R9'!$E23/('W9'!$C$5)*'W9'!$C$5,0),(IF(AND('R9'!$S$4&lt;&gt;"Multi",'R9'!$R$4="FY"),ROUND(((1+'R9'!$S$4)^'W9'!$B$20*'W9'!$C$9+(1+'R9'!$S$4)^('W9'!$B$20+1)*'W9'!$C$10)/'W9'!$C$5*'R9'!$E23,0),ROUND('R9'!$E23/'W9'!$C$5*'W9'!$C$5,0)))))))</f>
        <v>0</v>
      </c>
      <c r="C343" s="300"/>
      <c r="D343" s="302">
        <f ca="1">IF('W9'!$D$5=0,"",IF($C$4=$D$4,(IF(AND('R9'!$S$4="Multi",'R9'!$R$4="FY"),ROUND(((1+'R9'!$M23)^('W9'!$B$20)*'W9'!$D$9+(1+'R9'!$M23)^('W9'!$B$20+1)*'W9'!$D$10)/'W9'!$D$5*'R9'!$E23,0),(IF(AND('R9'!$S$4="Multi",'R9'!$R$4="PY"),ROUND('R9'!$E23*(1+'R9'!$M23)/'W9'!$D$5*'W9'!$D$5,0),(IF(AND('R9'!$S$4&lt;&gt;"Multi",'R9'!$R$4="FY"),ROUND(((1+'R9'!$S$4)^('W9'!$B$20)*'W9'!$D$9+(1+'R9'!$S$4)^('W9'!$B$20+1)*'W9'!$D$10)/'W9'!$D$5*'R9'!$E23,0),ROUND('R9'!$E23*(1+'R9'!$S$4)/'W9'!$D$5*'W9'!$D$5,0))))))),(IF(AND('R9'!$S$4="Multi",'R9'!$R$4="FY"),ROUND(((1+'R9'!$M23)^('W9'!$B$20+1)*'W9'!$D$9+(1+'R9'!$M23)^('W9'!$B$20+2)*'W9'!$D$10)/'W9'!$D$5*'R9'!$E23,0),(IF(AND('R9'!$S$4="Multi",'R9'!$R$4="PY"),ROUND('R9'!$E23*(1+'R9'!$M23)/'W9'!$D$5*'W9'!$D$5,0),(IF(AND('R9'!$S$4&lt;&gt;"Multi",'R9'!$R$4="FY"),ROUND(((1+'R9'!$S$4)^('W9'!$B$20+1)*'W9'!$D$9+(1+'R9'!$S$4)^('W9'!$B$20+2)*'W9'!$D$10)/'W9'!$D$5*'R9'!$E23,0),ROUND('R9'!$E23*(1+'R9'!$S$4)/'W9'!$D$5*'W9'!$D$5,0)))))))))</f>
        <v>0</v>
      </c>
      <c r="E343" s="300"/>
      <c r="F343" s="302">
        <f ca="1">IF('W9'!$E$5=0,"",IF($C$4=$D$4,(IF(AND('R9'!$S$4="Multi",'R9'!$R$4="FY"),ROUND(((1+'R9'!$M23)^('W9'!$B$20+1)*'W9'!$E$9+(1+'R9'!$M23)^('W9'!$B$20+3)*'W9'!$E$10)/'W9'!$E$5*'R9'!$E23,0),(IF(AND('R9'!$S$4="Multi",'R9'!$R$4="PY"),ROUND('R9'!$E23*((1+'R9'!$M23)^2)/'W9'!$E$5*'W9'!$E$5,0),(IF(AND('R9'!$S$4&lt;&gt;"Multi",'R9'!$R$4="FY"),ROUND(((1+'R9'!$S$4)^('W9'!$B$20+1)*'W9'!$E$9+(1+'R9'!$S$4)^('W9'!$B$20+2)*'W9'!$E$10)/'W9'!$E$5*'R9'!$E23,0),ROUND('R9'!$E23*((1+'R9'!$S$4)^2)/'W9'!$E$5*'W9'!$E$5,0))))))),(IF(AND('R9'!$S$4="Multi",'R9'!$R$4="FY"),ROUND(((1+'R9'!$M23)^('W9'!$B$20+2)*'W9'!$E$9+(1+'R9'!$M23)^('W9'!$B$20+3)*'W9'!$E$10)/'W9'!$E$5*'R9'!$E23,0),(IF(AND('R9'!$S$4="Multi",'R9'!$R$4="PY"),ROUND('R9'!$E23*((1+'R9'!$M23)^2)/'W9'!$E$5*'W9'!$E$5,0),(IF(AND('R9'!$S$4&lt;&gt;"Multi",'R9'!$R$4="FY"),ROUND(((1+'R9'!$S$4)^('W9'!$B$20+2)*'W9'!$E$9+(1+'R9'!$S$4)^('W9'!$B$20+3)*'W9'!$E$10)/'W9'!$E$5*'R9'!$E23,0),ROUND('R9'!$E23*((1+'R9'!$S$4)^2)/'W9'!$E$5*'W9'!$E$5,0)))))))))</f>
        <v>0</v>
      </c>
      <c r="G343" s="300"/>
      <c r="H343" s="302">
        <f ca="1">IF('W9'!$F$5=0,"",IF($C$4=$D$4,(IF(AND('R9'!$S$4="Multi",'R9'!$R$4="FY"),ROUND(((1+'R9'!$M23)^('W9'!$B$20+2)*'W9'!$F$9+(1+'R9'!$M23)^('W9'!$B$20+3)*'W9'!$F$10)/'W9'!$F$5*'R9'!$E23,0),(IF(AND('R9'!$S$4="Multi",'R9'!$R$4="PY"),ROUND('R9'!$E23*((1+'R9'!$M23)^3)/'W9'!$F$5*'W9'!$F$5,0),(IF(AND('R9'!$S$4&lt;&gt;"Multi",'R9'!$R$4="FY"),ROUND(((1+'R9'!$S$4)^('W9'!$B$20+2)*'W9'!$F$9+(1+'R9'!$S$4)^('W9'!$B$20+3)*'W9'!$F$10)/'W9'!$F$5*'R9'!$E23,0),ROUND('R9'!$E23*((1+'R9'!$S$4)^3)/'W9'!$F$5*'W9'!$F$5,0))))))),(IF(AND('R9'!$S$4="Multi",'R9'!$R$4="FY"),ROUND(((1+'R9'!$M23)^('W9'!$B$20+3)*'W9'!$F$9+(1+'R9'!$M23)^('W9'!$B$20+4)*'W9'!$F$10)/'W9'!$F$5*'R9'!$E23,0),(IF(AND('R9'!$S$4="Multi",'R9'!$R$4="PY"),ROUND('R9'!$E23*((1+'R9'!$M23)^3)/'W9'!$F$5*'W9'!$F$5,0),(IF(AND('R9'!$S$4&lt;&gt;"Multi",'R9'!$R$4="FY"),ROUND(((1+'R9'!$S$4)^('W9'!$B$20+3)*'W9'!$F$9+(1+'R9'!$S$4)^('W9'!$B$20+4)*'W9'!$F$10)/'W9'!$F$5*'R9'!$E23,0),ROUND('R9'!$E23*((1+'R9'!$S$4)^3)/'W9'!$F$5*'W9'!$F$5,0)))))))))</f>
        <v>0</v>
      </c>
      <c r="I343" s="300"/>
      <c r="J343" s="302">
        <f ca="1">IF('W9'!$G$5=0,"",IF($C$4=$D$4,(IF(AND('R9'!$S$4="Multi",'R9'!$R$4="FY"),ROUND(((1+'R9'!$M23)^('W9'!$B$20+3)*'W9'!$G$9+(1+'R9'!$M23)^('W9'!$B$20+4)*'W9'!$G$10)/'W9'!$G$5*'R9'!$E23,0),(IF(AND('R9'!$S$4="Multi",'R9'!$R$4="PY"),ROUND('R9'!$E23*((1+'R9'!$M23)^4)/'W9'!$G$5*'W9'!$G$5,0),(IF(AND('R9'!$S$4&lt;&gt;"Multi",'R9'!$R$4="FY"),ROUND(((1+'R9'!$S$4)^('W9'!$B$20+3)*'W9'!$G$9+(1+'R9'!$S$4)^('W9'!$B$20+4)*'W9'!$G$10)/'W9'!$G$5*'R9'!$E23,0),ROUND('R9'!$E23*((1+'R9'!$S$4)^4)/'W9'!$G$5*'W9'!$G$5,0))))))),(IF(AND('R9'!$S$4="Multi",'R9'!$R$4="FY"),ROUND(((1+'R9'!$M23)^('W9'!$B$20+4)*'W9'!$G$9+(1+'R9'!$M23)^('W9'!$B$20+5)*'W9'!$G$10)/'W9'!$G$5*'R9'!$E23,0),(IF(AND('R9'!$S$4="Multi",'R9'!$R$4="PY"),ROUND('R9'!$E23*((1+'R9'!$M23)^4)/'W9'!$G$5*'W9'!$G$5,0),(IF(AND('R9'!$S$4&lt;&gt;"Multi",'R9'!$R$4="FY"),ROUND(((1+'R9'!$S$4)^('W9'!$B$20+4)*'W9'!$G$9+(1+'R9'!$S$4)^('W9'!$B$20+5)*'W9'!$G$10)/'W9'!$G$5*'R9'!$E23,0),ROUND('R9'!$E23*((1+'R9'!$S$4)^4)/'W9'!$G$5*'W9'!$G$5,0)))))))))</f>
        <v>0</v>
      </c>
      <c r="K343" s="300"/>
    </row>
    <row r="344" spans="1:11" x14ac:dyDescent="0.2">
      <c r="A344" s="82">
        <f>'P9'!B19</f>
        <v>0</v>
      </c>
      <c r="B344" s="302">
        <f ca="1">IF('W9'!$C$5=0,"",IF(AND('R9'!$S$4="Multi",'R9'!$R$4="FY"),ROUND(((1+'R9'!$M24)^'W9'!$B$20*'W9'!$C$9+(1+'R9'!$M24)^('W9'!$B$20+1)*'W9'!$C$10)/('W9'!$C$5)*'R9'!$E24,0),(IF(AND('R9'!$S$4="Multi",'R9'!$R$4="PY"),ROUND('R9'!$E24/('W9'!$C$5)*'W9'!$C$5,0),(IF(AND('R9'!$S$4&lt;&gt;"Multi",'R9'!$R$4="FY"),ROUND(((1+'R9'!$S$4)^'W9'!$B$20*'W9'!$C$9+(1+'R9'!$S$4)^('W9'!$B$20+1)*'W9'!$C$10)/'W9'!$C$5*'R9'!$E24,0),ROUND('R9'!$E24/'W9'!$C$5*'W9'!$C$5,0)))))))</f>
        <v>0</v>
      </c>
      <c r="C344" s="300"/>
      <c r="D344" s="302">
        <f ca="1">IF('W9'!$D$5=0,"",IF($C$4=$D$4,(IF(AND('R9'!$S$4="Multi",'R9'!$R$4="FY"),ROUND(((1+'R9'!$M24)^('W9'!$B$20)*'W9'!$D$9+(1+'R9'!$M24)^('W9'!$B$20+1)*'W9'!$D$10)/'W9'!$D$5*'R9'!$E24,0),(IF(AND('R9'!$S$4="Multi",'R9'!$R$4="PY"),ROUND('R9'!$E24*(1+'R9'!$M24)/'W9'!$D$5*'W9'!$D$5,0),(IF(AND('R9'!$S$4&lt;&gt;"Multi",'R9'!$R$4="FY"),ROUND(((1+'R9'!$S$4)^('W9'!$B$20)*'W9'!$D$9+(1+'R9'!$S$4)^('W9'!$B$20+1)*'W9'!$D$10)/'W9'!$D$5*'R9'!$E24,0),ROUND('R9'!$E24*(1+'R9'!$S$4)/'W9'!$D$5*'W9'!$D$5,0))))))),(IF(AND('R9'!$S$4="Multi",'R9'!$R$4="FY"),ROUND(((1+'R9'!$M24)^('W9'!$B$20+1)*'W9'!$D$9+(1+'R9'!$M24)^('W9'!$B$20+2)*'W9'!$D$10)/'W9'!$D$5*'R9'!$E24,0),(IF(AND('R9'!$S$4="Multi",'R9'!$R$4="PY"),ROUND('R9'!$E24*(1+'R9'!$M24)/'W9'!$D$5*'W9'!$D$5,0),(IF(AND('R9'!$S$4&lt;&gt;"Multi",'R9'!$R$4="FY"),ROUND(((1+'R9'!$S$4)^('W9'!$B$20+1)*'W9'!$D$9+(1+'R9'!$S$4)^('W9'!$B$20+2)*'W9'!$D$10)/'W9'!$D$5*'R9'!$E24,0),ROUND('R9'!$E24*(1+'R9'!$S$4)/'W9'!$D$5*'W9'!$D$5,0)))))))))</f>
        <v>0</v>
      </c>
      <c r="E344" s="300"/>
      <c r="F344" s="302">
        <f ca="1">IF('W9'!$E$5=0,"",IF($C$4=$D$4,(IF(AND('R9'!$S$4="Multi",'R9'!$R$4="FY"),ROUND(((1+'R9'!$M24)^('W9'!$B$20+1)*'W9'!$E$9+(1+'R9'!$M24)^('W9'!$B$20+3)*'W9'!$E$10)/'W9'!$E$5*'R9'!$E24,0),(IF(AND('R9'!$S$4="Multi",'R9'!$R$4="PY"),ROUND('R9'!$E24*((1+'R9'!$M24)^2)/'W9'!$E$5*'W9'!$E$5,0),(IF(AND('R9'!$S$4&lt;&gt;"Multi",'R9'!$R$4="FY"),ROUND(((1+'R9'!$S$4)^('W9'!$B$20+1)*'W9'!$E$9+(1+'R9'!$S$4)^('W9'!$B$20+2)*'W9'!$E$10)/'W9'!$E$5*'R9'!$E24,0),ROUND('R9'!$E24*((1+'R9'!$S$4)^2)/'W9'!$E$5*'W9'!$E$5,0))))))),(IF(AND('R9'!$S$4="Multi",'R9'!$R$4="FY"),ROUND(((1+'R9'!$M24)^('W9'!$B$20+2)*'W9'!$E$9+(1+'R9'!$M24)^('W9'!$B$20+3)*'W9'!$E$10)/'W9'!$E$5*'R9'!$E24,0),(IF(AND('R9'!$S$4="Multi",'R9'!$R$4="PY"),ROUND('R9'!$E24*((1+'R9'!$M24)^2)/'W9'!$E$5*'W9'!$E$5,0),(IF(AND('R9'!$S$4&lt;&gt;"Multi",'R9'!$R$4="FY"),ROUND(((1+'R9'!$S$4)^('W9'!$B$20+2)*'W9'!$E$9+(1+'R9'!$S$4)^('W9'!$B$20+3)*'W9'!$E$10)/'W9'!$E$5*'R9'!$E24,0),ROUND('R9'!$E24*((1+'R9'!$S$4)^2)/'W9'!$E$5*'W9'!$E$5,0)))))))))</f>
        <v>0</v>
      </c>
      <c r="G344" s="300"/>
      <c r="H344" s="302">
        <f ca="1">IF('W9'!$F$5=0,"",IF($C$4=$D$4,(IF(AND('R9'!$S$4="Multi",'R9'!$R$4="FY"),ROUND(((1+'R9'!$M24)^('W9'!$B$20+2)*'W9'!$F$9+(1+'R9'!$M24)^('W9'!$B$20+3)*'W9'!$F$10)/'W9'!$F$5*'R9'!$E24,0),(IF(AND('R9'!$S$4="Multi",'R9'!$R$4="PY"),ROUND('R9'!$E24*((1+'R9'!$M24)^3)/'W9'!$F$5*'W9'!$F$5,0),(IF(AND('R9'!$S$4&lt;&gt;"Multi",'R9'!$R$4="FY"),ROUND(((1+'R9'!$S$4)^('W9'!$B$20+2)*'W9'!$F$9+(1+'R9'!$S$4)^('W9'!$B$20+3)*'W9'!$F$10)/'W9'!$F$5*'R9'!$E24,0),ROUND('R9'!$E24*((1+'R9'!$S$4)^3)/'W9'!$F$5*'W9'!$F$5,0))))))),(IF(AND('R9'!$S$4="Multi",'R9'!$R$4="FY"),ROUND(((1+'R9'!$M24)^('W9'!$B$20+3)*'W9'!$F$9+(1+'R9'!$M24)^('W9'!$B$20+4)*'W9'!$F$10)/'W9'!$F$5*'R9'!$E24,0),(IF(AND('R9'!$S$4="Multi",'R9'!$R$4="PY"),ROUND('R9'!$E24*((1+'R9'!$M24)^3)/'W9'!$F$5*'W9'!$F$5,0),(IF(AND('R9'!$S$4&lt;&gt;"Multi",'R9'!$R$4="FY"),ROUND(((1+'R9'!$S$4)^('W9'!$B$20+3)*'W9'!$F$9+(1+'R9'!$S$4)^('W9'!$B$20+4)*'W9'!$F$10)/'W9'!$F$5*'R9'!$E24,0),ROUND('R9'!$E24*((1+'R9'!$S$4)^3)/'W9'!$F$5*'W9'!$F$5,0)))))))))</f>
        <v>0</v>
      </c>
      <c r="I344" s="300"/>
      <c r="J344" s="302">
        <f ca="1">IF('W9'!$G$5=0,"",IF($C$4=$D$4,(IF(AND('R9'!$S$4="Multi",'R9'!$R$4="FY"),ROUND(((1+'R9'!$M24)^('W9'!$B$20+3)*'W9'!$G$9+(1+'R9'!$M24)^('W9'!$B$20+4)*'W9'!$G$10)/'W9'!$G$5*'R9'!$E24,0),(IF(AND('R9'!$S$4="Multi",'R9'!$R$4="PY"),ROUND('R9'!$E24*((1+'R9'!$M24)^4)/'W9'!$G$5*'W9'!$G$5,0),(IF(AND('R9'!$S$4&lt;&gt;"Multi",'R9'!$R$4="FY"),ROUND(((1+'R9'!$S$4)^('W9'!$B$20+3)*'W9'!$G$9+(1+'R9'!$S$4)^('W9'!$B$20+4)*'W9'!$G$10)/'W9'!$G$5*'R9'!$E24,0),ROUND('R9'!$E24*((1+'R9'!$S$4)^4)/'W9'!$G$5*'W9'!$G$5,0))))))),(IF(AND('R9'!$S$4="Multi",'R9'!$R$4="FY"),ROUND(((1+'R9'!$M24)^('W9'!$B$20+4)*'W9'!$G$9+(1+'R9'!$M24)^('W9'!$B$20+5)*'W9'!$G$10)/'W9'!$G$5*'R9'!$E24,0),(IF(AND('R9'!$S$4="Multi",'R9'!$R$4="PY"),ROUND('R9'!$E24*((1+'R9'!$M24)^4)/'W9'!$G$5*'W9'!$G$5,0),(IF(AND('R9'!$S$4&lt;&gt;"Multi",'R9'!$R$4="FY"),ROUND(((1+'R9'!$S$4)^('W9'!$B$20+4)*'W9'!$G$9+(1+'R9'!$S$4)^('W9'!$B$20+5)*'W9'!$G$10)/'W9'!$G$5*'R9'!$E24,0),ROUND('R9'!$E24*((1+'R9'!$S$4)^4)/'W9'!$G$5*'W9'!$G$5,0)))))))))</f>
        <v>0</v>
      </c>
      <c r="K344" s="300"/>
    </row>
    <row r="345" spans="1:11" x14ac:dyDescent="0.2">
      <c r="A345" s="82">
        <f>'P9'!B20</f>
        <v>0</v>
      </c>
      <c r="B345" s="302">
        <f ca="1">IF('W9'!$C$5=0,"",IF(AND('R9'!$S$4="Multi",'R9'!$R$4="FY"),ROUND(((1+'R9'!$M25)^'W9'!$B$20*'W9'!$C$9+(1+'R9'!$M25)^('W9'!$B$20+1)*'W9'!$C$10)/('W9'!$C$5)*'R9'!$E25,0),(IF(AND('R9'!$S$4="Multi",'R9'!$R$4="PY"),ROUND('R9'!$E25/('W9'!$C$5)*'W9'!$C$5,0),(IF(AND('R9'!$S$4&lt;&gt;"Multi",'R9'!$R$4="FY"),ROUND(((1+'R9'!$S$4)^'W9'!$B$20*'W9'!$C$9+(1+'R9'!$S$4)^('W9'!$B$20+1)*'W9'!$C$10)/'W9'!$C$5*'R9'!$E25,0),ROUND('R9'!$E25/'W9'!$C$5*'W9'!$C$5,0)))))))</f>
        <v>0</v>
      </c>
      <c r="C345" s="300"/>
      <c r="D345" s="302">
        <f ca="1">IF('W9'!$D$5=0,"",IF($C$4=$D$4,(IF(AND('R9'!$S$4="Multi",'R9'!$R$4="FY"),ROUND(((1+'R9'!$M25)^('W9'!$B$20)*'W9'!$D$9+(1+'R9'!$M25)^('W9'!$B$20+1)*'W9'!$D$10)/'W9'!$D$5*'R9'!$E25,0),(IF(AND('R9'!$S$4="Multi",'R9'!$R$4="PY"),ROUND('R9'!$E25*(1+'R9'!$M25)/'W9'!$D$5*'W9'!$D$5,0),(IF(AND('R9'!$S$4&lt;&gt;"Multi",'R9'!$R$4="FY"),ROUND(((1+'R9'!$S$4)^('W9'!$B$20)*'W9'!$D$9+(1+'R9'!$S$4)^('W9'!$B$20+1)*'W9'!$D$10)/'W9'!$D$5*'R9'!$E25,0),ROUND('R9'!$E25*(1+'R9'!$S$4)/'W9'!$D$5*'W9'!$D$5,0))))))),(IF(AND('R9'!$S$4="Multi",'R9'!$R$4="FY"),ROUND(((1+'R9'!$M25)^('W9'!$B$20+1)*'W9'!$D$9+(1+'R9'!$M25)^('W9'!$B$20+2)*'W9'!$D$10)/'W9'!$D$5*'R9'!$E25,0),(IF(AND('R9'!$S$4="Multi",'R9'!$R$4="PY"),ROUND('R9'!$E25*(1+'R9'!$M25)/'W9'!$D$5*'W9'!$D$5,0),(IF(AND('R9'!$S$4&lt;&gt;"Multi",'R9'!$R$4="FY"),ROUND(((1+'R9'!$S$4)^('W9'!$B$20+1)*'W9'!$D$9+(1+'R9'!$S$4)^('W9'!$B$20+2)*'W9'!$D$10)/'W9'!$D$5*'R9'!$E25,0),ROUND('R9'!$E25*(1+'R9'!$S$4)/'W9'!$D$5*'W9'!$D$5,0)))))))))</f>
        <v>0</v>
      </c>
      <c r="E345" s="300"/>
      <c r="F345" s="302">
        <f ca="1">IF('W9'!$E$5=0,"",IF($C$4=$D$4,(IF(AND('R9'!$S$4="Multi",'R9'!$R$4="FY"),ROUND(((1+'R9'!$M25)^('W9'!$B$20+1)*'W9'!$E$9+(1+'R9'!$M25)^('W9'!$B$20+3)*'W9'!$E$10)/'W9'!$E$5*'R9'!$E25,0),(IF(AND('R9'!$S$4="Multi",'R9'!$R$4="PY"),ROUND('R9'!$E25*((1+'R9'!$M25)^2)/'W9'!$E$5*'W9'!$E$5,0),(IF(AND('R9'!$S$4&lt;&gt;"Multi",'R9'!$R$4="FY"),ROUND(((1+'R9'!$S$4)^('W9'!$B$20+1)*'W9'!$E$9+(1+'R9'!$S$4)^('W9'!$B$20+2)*'W9'!$E$10)/'W9'!$E$5*'R9'!$E25,0),ROUND('R9'!$E25*((1+'R9'!$S$4)^2)/'W9'!$E$5*'W9'!$E$5,0))))))),(IF(AND('R9'!$S$4="Multi",'R9'!$R$4="FY"),ROUND(((1+'R9'!$M25)^('W9'!$B$20+2)*'W9'!$E$9+(1+'R9'!$M25)^('W9'!$B$20+3)*'W9'!$E$10)/'W9'!$E$5*'R9'!$E25,0),(IF(AND('R9'!$S$4="Multi",'R9'!$R$4="PY"),ROUND('R9'!$E25*((1+'R9'!$M25)^2)/'W9'!$E$5*'W9'!$E$5,0),(IF(AND('R9'!$S$4&lt;&gt;"Multi",'R9'!$R$4="FY"),ROUND(((1+'R9'!$S$4)^('W9'!$B$20+2)*'W9'!$E$9+(1+'R9'!$S$4)^('W9'!$B$20+3)*'W9'!$E$10)/'W9'!$E$5*'R9'!$E25,0),ROUND('R9'!$E25*((1+'R9'!$S$4)^2)/'W9'!$E$5*'W9'!$E$5,0)))))))))</f>
        <v>0</v>
      </c>
      <c r="G345" s="300"/>
      <c r="H345" s="302">
        <f ca="1">IF('W9'!$F$5=0,"",IF($C$4=$D$4,(IF(AND('R9'!$S$4="Multi",'R9'!$R$4="FY"),ROUND(((1+'R9'!$M25)^('W9'!$B$20+2)*'W9'!$F$9+(1+'R9'!$M25)^('W9'!$B$20+3)*'W9'!$F$10)/'W9'!$F$5*'R9'!$E25,0),(IF(AND('R9'!$S$4="Multi",'R9'!$R$4="PY"),ROUND('R9'!$E25*((1+'R9'!$M25)^3)/'W9'!$F$5*'W9'!$F$5,0),(IF(AND('R9'!$S$4&lt;&gt;"Multi",'R9'!$R$4="FY"),ROUND(((1+'R9'!$S$4)^('W9'!$B$20+2)*'W9'!$F$9+(1+'R9'!$S$4)^('W9'!$B$20+3)*'W9'!$F$10)/'W9'!$F$5*'R9'!$E25,0),ROUND('R9'!$E25*((1+'R9'!$S$4)^3)/'W9'!$F$5*'W9'!$F$5,0))))))),(IF(AND('R9'!$S$4="Multi",'R9'!$R$4="FY"),ROUND(((1+'R9'!$M25)^('W9'!$B$20+3)*'W9'!$F$9+(1+'R9'!$M25)^('W9'!$B$20+4)*'W9'!$F$10)/'W9'!$F$5*'R9'!$E25,0),(IF(AND('R9'!$S$4="Multi",'R9'!$R$4="PY"),ROUND('R9'!$E25*((1+'R9'!$M25)^3)/'W9'!$F$5*'W9'!$F$5,0),(IF(AND('R9'!$S$4&lt;&gt;"Multi",'R9'!$R$4="FY"),ROUND(((1+'R9'!$S$4)^('W9'!$B$20+3)*'W9'!$F$9+(1+'R9'!$S$4)^('W9'!$B$20+4)*'W9'!$F$10)/'W9'!$F$5*'R9'!$E25,0),ROUND('R9'!$E25*((1+'R9'!$S$4)^3)/'W9'!$F$5*'W9'!$F$5,0)))))))))</f>
        <v>0</v>
      </c>
      <c r="I345" s="300"/>
      <c r="J345" s="302">
        <f ca="1">IF('W9'!$G$5=0,"",IF($C$4=$D$4,(IF(AND('R9'!$S$4="Multi",'R9'!$R$4="FY"),ROUND(((1+'R9'!$M25)^('W9'!$B$20+3)*'W9'!$G$9+(1+'R9'!$M25)^('W9'!$B$20+4)*'W9'!$G$10)/'W9'!$G$5*'R9'!$E25,0),(IF(AND('R9'!$S$4="Multi",'R9'!$R$4="PY"),ROUND('R9'!$E25*((1+'R9'!$M25)^4)/'W9'!$G$5*'W9'!$G$5,0),(IF(AND('R9'!$S$4&lt;&gt;"Multi",'R9'!$R$4="FY"),ROUND(((1+'R9'!$S$4)^('W9'!$B$20+3)*'W9'!$G$9+(1+'R9'!$S$4)^('W9'!$B$20+4)*'W9'!$G$10)/'W9'!$G$5*'R9'!$E25,0),ROUND('R9'!$E25*((1+'R9'!$S$4)^4)/'W9'!$G$5*'W9'!$G$5,0))))))),(IF(AND('R9'!$S$4="Multi",'R9'!$R$4="FY"),ROUND(((1+'R9'!$M25)^('W9'!$B$20+4)*'W9'!$G$9+(1+'R9'!$M25)^('W9'!$B$20+5)*'W9'!$G$10)/'W9'!$G$5*'R9'!$E25,0),(IF(AND('R9'!$S$4="Multi",'R9'!$R$4="PY"),ROUND('R9'!$E25*((1+'R9'!$M25)^4)/'W9'!$G$5*'W9'!$G$5,0),(IF(AND('R9'!$S$4&lt;&gt;"Multi",'R9'!$R$4="FY"),ROUND(((1+'R9'!$S$4)^('W9'!$B$20+4)*'W9'!$G$9+(1+'R9'!$S$4)^('W9'!$B$20+5)*'W9'!$G$10)/'W9'!$G$5*'R9'!$E25,0),ROUND('R9'!$E25*((1+'R9'!$S$4)^4)/'W9'!$G$5*'W9'!$G$5,0)))))))))</f>
        <v>0</v>
      </c>
      <c r="K345" s="300"/>
    </row>
    <row r="346" spans="1:11" x14ac:dyDescent="0.2">
      <c r="A346" s="82">
        <f>'P9'!B21</f>
        <v>0</v>
      </c>
      <c r="B346" s="302">
        <f ca="1">IF('W9'!$C$5=0,"",IF(AND('R9'!$S$4="Multi",'R9'!$R$4="FY"),ROUND(((1+'R9'!$M26)^'W9'!$B$20*'W9'!$C$9+(1+'R9'!$M26)^('W9'!$B$20+1)*'W9'!$C$10)/('W9'!$C$5)*'R9'!$E26,0),(IF(AND('R9'!$S$4="Multi",'R9'!$R$4="PY"),ROUND('R9'!$E26/('W9'!$C$5)*'W9'!$C$5,0),(IF(AND('R9'!$S$4&lt;&gt;"Multi",'R9'!$R$4="FY"),ROUND(((1+'R9'!$S$4)^'W9'!$B$20*'W9'!$C$9+(1+'R9'!$S$4)^('W9'!$B$20+1)*'W9'!$C$10)/'W9'!$C$5*'R9'!$E26,0),ROUND('R9'!$E26/'W9'!$C$5*'W9'!$C$5,0)))))))</f>
        <v>0</v>
      </c>
      <c r="C346" s="300"/>
      <c r="D346" s="302">
        <f ca="1">IF('W9'!$D$5=0,"",IF($C$4=$D$4,(IF(AND('R9'!$S$4="Multi",'R9'!$R$4="FY"),ROUND(((1+'R9'!$M26)^('W9'!$B$20)*'W9'!$D$9+(1+'R9'!$M26)^('W9'!$B$20+1)*'W9'!$D$10)/'W9'!$D$5*'R9'!$E26,0),(IF(AND('R9'!$S$4="Multi",'R9'!$R$4="PY"),ROUND('R9'!$E26*(1+'R9'!$M26)/'W9'!$D$5*'W9'!$D$5,0),(IF(AND('R9'!$S$4&lt;&gt;"Multi",'R9'!$R$4="FY"),ROUND(((1+'R9'!$S$4)^('W9'!$B$20)*'W9'!$D$9+(1+'R9'!$S$4)^('W9'!$B$20+1)*'W9'!$D$10)/'W9'!$D$5*'R9'!$E26,0),ROUND('R9'!$E26*(1+'R9'!$S$4)/'W9'!$D$5*'W9'!$D$5,0))))))),(IF(AND('R9'!$S$4="Multi",'R9'!$R$4="FY"),ROUND(((1+'R9'!$M26)^('W9'!$B$20+1)*'W9'!$D$9+(1+'R9'!$M26)^('W9'!$B$20+2)*'W9'!$D$10)/'W9'!$D$5*'R9'!$E26,0),(IF(AND('R9'!$S$4="Multi",'R9'!$R$4="PY"),ROUND('R9'!$E26*(1+'R9'!$M26)/'W9'!$D$5*'W9'!$D$5,0),(IF(AND('R9'!$S$4&lt;&gt;"Multi",'R9'!$R$4="FY"),ROUND(((1+'R9'!$S$4)^('W9'!$B$20+1)*'W9'!$D$9+(1+'R9'!$S$4)^('W9'!$B$20+2)*'W9'!$D$10)/'W9'!$D$5*'R9'!$E26,0),ROUND('R9'!$E26*(1+'R9'!$S$4)/'W9'!$D$5*'W9'!$D$5,0)))))))))</f>
        <v>0</v>
      </c>
      <c r="E346" s="300"/>
      <c r="F346" s="302">
        <f ca="1">IF('W9'!$E$5=0,"",IF($C$4=$D$4,(IF(AND('R9'!$S$4="Multi",'R9'!$R$4="FY"),ROUND(((1+'R9'!$M26)^('W9'!$B$20+1)*'W9'!$E$9+(1+'R9'!$M26)^('W9'!$B$20+3)*'W9'!$E$10)/'W9'!$E$5*'R9'!$E26,0),(IF(AND('R9'!$S$4="Multi",'R9'!$R$4="PY"),ROUND('R9'!$E26*((1+'R9'!$M26)^2)/'W9'!$E$5*'W9'!$E$5,0),(IF(AND('R9'!$S$4&lt;&gt;"Multi",'R9'!$R$4="FY"),ROUND(((1+'R9'!$S$4)^('W9'!$B$20+1)*'W9'!$E$9+(1+'R9'!$S$4)^('W9'!$B$20+2)*'W9'!$E$10)/'W9'!$E$5*'R9'!$E26,0),ROUND('R9'!$E26*((1+'R9'!$S$4)^2)/'W9'!$E$5*'W9'!$E$5,0))))))),(IF(AND('R9'!$S$4="Multi",'R9'!$R$4="FY"),ROUND(((1+'R9'!$M26)^('W9'!$B$20+2)*'W9'!$E$9+(1+'R9'!$M26)^('W9'!$B$20+3)*'W9'!$E$10)/'W9'!$E$5*'R9'!$E26,0),(IF(AND('R9'!$S$4="Multi",'R9'!$R$4="PY"),ROUND('R9'!$E26*((1+'R9'!$M26)^2)/'W9'!$E$5*'W9'!$E$5,0),(IF(AND('R9'!$S$4&lt;&gt;"Multi",'R9'!$R$4="FY"),ROUND(((1+'R9'!$S$4)^('W9'!$B$20+2)*'W9'!$E$9+(1+'R9'!$S$4)^('W9'!$B$20+3)*'W9'!$E$10)/'W9'!$E$5*'R9'!$E26,0),ROUND('R9'!$E26*((1+'R9'!$S$4)^2)/'W9'!$E$5*'W9'!$E$5,0)))))))))</f>
        <v>0</v>
      </c>
      <c r="G346" s="300"/>
      <c r="H346" s="302">
        <f ca="1">IF('W9'!$F$5=0,"",IF($C$4=$D$4,(IF(AND('R9'!$S$4="Multi",'R9'!$R$4="FY"),ROUND(((1+'R9'!$M26)^('W9'!$B$20+2)*'W9'!$F$9+(1+'R9'!$M26)^('W9'!$B$20+3)*'W9'!$F$10)/'W9'!$F$5*'R9'!$E26,0),(IF(AND('R9'!$S$4="Multi",'R9'!$R$4="PY"),ROUND('R9'!$E26*((1+'R9'!$M26)^3)/'W9'!$F$5*'W9'!$F$5,0),(IF(AND('R9'!$S$4&lt;&gt;"Multi",'R9'!$R$4="FY"),ROUND(((1+'R9'!$S$4)^('W9'!$B$20+2)*'W9'!$F$9+(1+'R9'!$S$4)^('W9'!$B$20+3)*'W9'!$F$10)/'W9'!$F$5*'R9'!$E26,0),ROUND('R9'!$E26*((1+'R9'!$S$4)^3)/'W9'!$F$5*'W9'!$F$5,0))))))),(IF(AND('R9'!$S$4="Multi",'R9'!$R$4="FY"),ROUND(((1+'R9'!$M26)^('W9'!$B$20+3)*'W9'!$F$9+(1+'R9'!$M26)^('W9'!$B$20+4)*'W9'!$F$10)/'W9'!$F$5*'R9'!$E26,0),(IF(AND('R9'!$S$4="Multi",'R9'!$R$4="PY"),ROUND('R9'!$E26*((1+'R9'!$M26)^3)/'W9'!$F$5*'W9'!$F$5,0),(IF(AND('R9'!$S$4&lt;&gt;"Multi",'R9'!$R$4="FY"),ROUND(((1+'R9'!$S$4)^('W9'!$B$20+3)*'W9'!$F$9+(1+'R9'!$S$4)^('W9'!$B$20+4)*'W9'!$F$10)/'W9'!$F$5*'R9'!$E26,0),ROUND('R9'!$E26*((1+'R9'!$S$4)^3)/'W9'!$F$5*'W9'!$F$5,0)))))))))</f>
        <v>0</v>
      </c>
      <c r="I346" s="300"/>
      <c r="J346" s="302">
        <f ca="1">IF('W9'!$G$5=0,"",IF($C$4=$D$4,(IF(AND('R9'!$S$4="Multi",'R9'!$R$4="FY"),ROUND(((1+'R9'!$M26)^('W9'!$B$20+3)*'W9'!$G$9+(1+'R9'!$M26)^('W9'!$B$20+4)*'W9'!$G$10)/'W9'!$G$5*'R9'!$E26,0),(IF(AND('R9'!$S$4="Multi",'R9'!$R$4="PY"),ROUND('R9'!$E26*((1+'R9'!$M26)^4)/'W9'!$G$5*'W9'!$G$5,0),(IF(AND('R9'!$S$4&lt;&gt;"Multi",'R9'!$R$4="FY"),ROUND(((1+'R9'!$S$4)^('W9'!$B$20+3)*'W9'!$G$9+(1+'R9'!$S$4)^('W9'!$B$20+4)*'W9'!$G$10)/'W9'!$G$5*'R9'!$E26,0),ROUND('R9'!$E26*((1+'R9'!$S$4)^4)/'W9'!$G$5*'W9'!$G$5,0))))))),(IF(AND('R9'!$S$4="Multi",'R9'!$R$4="FY"),ROUND(((1+'R9'!$M26)^('W9'!$B$20+4)*'W9'!$G$9+(1+'R9'!$M26)^('W9'!$B$20+5)*'W9'!$G$10)/'W9'!$G$5*'R9'!$E26,0),(IF(AND('R9'!$S$4="Multi",'R9'!$R$4="PY"),ROUND('R9'!$E26*((1+'R9'!$M26)^4)/'W9'!$G$5*'W9'!$G$5,0),(IF(AND('R9'!$S$4&lt;&gt;"Multi",'R9'!$R$4="FY"),ROUND(((1+'R9'!$S$4)^('W9'!$B$20+4)*'W9'!$G$9+(1+'R9'!$S$4)^('W9'!$B$20+5)*'W9'!$G$10)/'W9'!$G$5*'R9'!$E26,0),ROUND('R9'!$E26*((1+'R9'!$S$4)^4)/'W9'!$G$5*'W9'!$G$5,0)))))))))</f>
        <v>0</v>
      </c>
      <c r="K346" s="300"/>
    </row>
    <row r="347" spans="1:11" x14ac:dyDescent="0.2">
      <c r="A347" s="82">
        <f>'P9'!B22</f>
        <v>0</v>
      </c>
      <c r="B347" s="302">
        <f ca="1">IF('W9'!$C$5=0,"",IF(AND('R9'!$S$4="Multi",'R9'!$R$4="FY"),ROUND(((1+'R9'!$M27)^'W9'!$B$20*'W9'!$C$9+(1+'R9'!$M27)^('W9'!$B$20+1)*'W9'!$C$10)/('W9'!$C$5)*'R9'!$E27,0),(IF(AND('R9'!$S$4="Multi",'R9'!$R$4="PY"),ROUND('R9'!$E27/('W9'!$C$5)*'W9'!$C$5,0),(IF(AND('R9'!$S$4&lt;&gt;"Multi",'R9'!$R$4="FY"),ROUND(((1+'R9'!$S$4)^'W9'!$B$20*'W9'!$C$9+(1+'R9'!$S$4)^('W9'!$B$20+1)*'W9'!$C$10)/'W9'!$C$5*'R9'!$E27,0),ROUND('R9'!$E27/'W9'!$C$5*'W9'!$C$5,0)))))))</f>
        <v>0</v>
      </c>
      <c r="C347" s="300"/>
      <c r="D347" s="302">
        <f ca="1">IF('W9'!$D$5=0,"",IF($C$4=$D$4,(IF(AND('R9'!$S$4="Multi",'R9'!$R$4="FY"),ROUND(((1+'R9'!$M27)^('W9'!$B$20)*'W9'!$D$9+(1+'R9'!$M27)^('W9'!$B$20+1)*'W9'!$D$10)/'W9'!$D$5*'R9'!$E27,0),(IF(AND('R9'!$S$4="Multi",'R9'!$R$4="PY"),ROUND('R9'!$E27*(1+'R9'!$M27)/'W9'!$D$5*'W9'!$D$5,0),(IF(AND('R9'!$S$4&lt;&gt;"Multi",'R9'!$R$4="FY"),ROUND(((1+'R9'!$S$4)^('W9'!$B$20)*'W9'!$D$9+(1+'R9'!$S$4)^('W9'!$B$20+1)*'W9'!$D$10)/'W9'!$D$5*'R9'!$E27,0),ROUND('R9'!$E27*(1+'R9'!$S$4)/'W9'!$D$5*'W9'!$D$5,0))))))),(IF(AND('R9'!$S$4="Multi",'R9'!$R$4="FY"),ROUND(((1+'R9'!$M27)^('W9'!$B$20+1)*'W9'!$D$9+(1+'R9'!$M27)^('W9'!$B$20+2)*'W9'!$D$10)/'W9'!$D$5*'R9'!$E27,0),(IF(AND('R9'!$S$4="Multi",'R9'!$R$4="PY"),ROUND('R9'!$E27*(1+'R9'!$M27)/'W9'!$D$5*'W9'!$D$5,0),(IF(AND('R9'!$S$4&lt;&gt;"Multi",'R9'!$R$4="FY"),ROUND(((1+'R9'!$S$4)^('W9'!$B$20+1)*'W9'!$D$9+(1+'R9'!$S$4)^('W9'!$B$20+2)*'W9'!$D$10)/'W9'!$D$5*'R9'!$E27,0),ROUND('R9'!$E27*(1+'R9'!$S$4)/'W9'!$D$5*'W9'!$D$5,0)))))))))</f>
        <v>0</v>
      </c>
      <c r="E347" s="300"/>
      <c r="F347" s="302">
        <f ca="1">IF('W9'!$E$5=0,"",IF($C$4=$D$4,(IF(AND('R9'!$S$4="Multi",'R9'!$R$4="FY"),ROUND(((1+'R9'!$M27)^('W9'!$B$20+1)*'W9'!$E$9+(1+'R9'!$M27)^('W9'!$B$20+3)*'W9'!$E$10)/'W9'!$E$5*'R9'!$E27,0),(IF(AND('R9'!$S$4="Multi",'R9'!$R$4="PY"),ROUND('R9'!$E27*((1+'R9'!$M27)^2)/'W9'!$E$5*'W9'!$E$5,0),(IF(AND('R9'!$S$4&lt;&gt;"Multi",'R9'!$R$4="FY"),ROUND(((1+'R9'!$S$4)^('W9'!$B$20+1)*'W9'!$E$9+(1+'R9'!$S$4)^('W9'!$B$20+2)*'W9'!$E$10)/'W9'!$E$5*'R9'!$E27,0),ROUND('R9'!$E27*((1+'R9'!$S$4)^2)/'W9'!$E$5*'W9'!$E$5,0))))))),(IF(AND('R9'!$S$4="Multi",'R9'!$R$4="FY"),ROUND(((1+'R9'!$M27)^('W9'!$B$20+2)*'W9'!$E$9+(1+'R9'!$M27)^('W9'!$B$20+3)*'W9'!$E$10)/'W9'!$E$5*'R9'!$E27,0),(IF(AND('R9'!$S$4="Multi",'R9'!$R$4="PY"),ROUND('R9'!$E27*((1+'R9'!$M27)^2)/'W9'!$E$5*'W9'!$E$5,0),(IF(AND('R9'!$S$4&lt;&gt;"Multi",'R9'!$R$4="FY"),ROUND(((1+'R9'!$S$4)^('W9'!$B$20+2)*'W9'!$E$9+(1+'R9'!$S$4)^('W9'!$B$20+3)*'W9'!$E$10)/'W9'!$E$5*'R9'!$E27,0),ROUND('R9'!$E27*((1+'R9'!$S$4)^2)/'W9'!$E$5*'W9'!$E$5,0)))))))))</f>
        <v>0</v>
      </c>
      <c r="G347" s="300"/>
      <c r="H347" s="302">
        <f ca="1">IF('W9'!$F$5=0,"",IF($C$4=$D$4,(IF(AND('R9'!$S$4="Multi",'R9'!$R$4="FY"),ROUND(((1+'R9'!$M27)^('W9'!$B$20+2)*'W9'!$F$9+(1+'R9'!$M27)^('W9'!$B$20+3)*'W9'!$F$10)/'W9'!$F$5*'R9'!$E27,0),(IF(AND('R9'!$S$4="Multi",'R9'!$R$4="PY"),ROUND('R9'!$E27*((1+'R9'!$M27)^3)/'W9'!$F$5*'W9'!$F$5,0),(IF(AND('R9'!$S$4&lt;&gt;"Multi",'R9'!$R$4="FY"),ROUND(((1+'R9'!$S$4)^('W9'!$B$20+2)*'W9'!$F$9+(1+'R9'!$S$4)^('W9'!$B$20+3)*'W9'!$F$10)/'W9'!$F$5*'R9'!$E27,0),ROUND('R9'!$E27*((1+'R9'!$S$4)^3)/'W9'!$F$5*'W9'!$F$5,0))))))),(IF(AND('R9'!$S$4="Multi",'R9'!$R$4="FY"),ROUND(((1+'R9'!$M27)^('W9'!$B$20+3)*'W9'!$F$9+(1+'R9'!$M27)^('W9'!$B$20+4)*'W9'!$F$10)/'W9'!$F$5*'R9'!$E27,0),(IF(AND('R9'!$S$4="Multi",'R9'!$R$4="PY"),ROUND('R9'!$E27*((1+'R9'!$M27)^3)/'W9'!$F$5*'W9'!$F$5,0),(IF(AND('R9'!$S$4&lt;&gt;"Multi",'R9'!$R$4="FY"),ROUND(((1+'R9'!$S$4)^('W9'!$B$20+3)*'W9'!$F$9+(1+'R9'!$S$4)^('W9'!$B$20+4)*'W9'!$F$10)/'W9'!$F$5*'R9'!$E27,0),ROUND('R9'!$E27*((1+'R9'!$S$4)^3)/'W9'!$F$5*'W9'!$F$5,0)))))))))</f>
        <v>0</v>
      </c>
      <c r="I347" s="300"/>
      <c r="J347" s="302">
        <f ca="1">IF('W9'!$G$5=0,"",IF($C$4=$D$4,(IF(AND('R9'!$S$4="Multi",'R9'!$R$4="FY"),ROUND(((1+'R9'!$M27)^('W9'!$B$20+3)*'W9'!$G$9+(1+'R9'!$M27)^('W9'!$B$20+4)*'W9'!$G$10)/'W9'!$G$5*'R9'!$E27,0),(IF(AND('R9'!$S$4="Multi",'R9'!$R$4="PY"),ROUND('R9'!$E27*((1+'R9'!$M27)^4)/'W9'!$G$5*'W9'!$G$5,0),(IF(AND('R9'!$S$4&lt;&gt;"Multi",'R9'!$R$4="FY"),ROUND(((1+'R9'!$S$4)^('W9'!$B$20+3)*'W9'!$G$9+(1+'R9'!$S$4)^('W9'!$B$20+4)*'W9'!$G$10)/'W9'!$G$5*'R9'!$E27,0),ROUND('R9'!$E27*((1+'R9'!$S$4)^4)/'W9'!$G$5*'W9'!$G$5,0))))))),(IF(AND('R9'!$S$4="Multi",'R9'!$R$4="FY"),ROUND(((1+'R9'!$M27)^('W9'!$B$20+4)*'W9'!$G$9+(1+'R9'!$M27)^('W9'!$B$20+5)*'W9'!$G$10)/'W9'!$G$5*'R9'!$E27,0),(IF(AND('R9'!$S$4="Multi",'R9'!$R$4="PY"),ROUND('R9'!$E27*((1+'R9'!$M27)^4)/'W9'!$G$5*'W9'!$G$5,0),(IF(AND('R9'!$S$4&lt;&gt;"Multi",'R9'!$R$4="FY"),ROUND(((1+'R9'!$S$4)^('W9'!$B$20+4)*'W9'!$G$9+(1+'R9'!$S$4)^('W9'!$B$20+5)*'W9'!$G$10)/'W9'!$G$5*'R9'!$E27,0),ROUND('R9'!$E27*((1+'R9'!$S$4)^4)/'W9'!$G$5*'W9'!$G$5,0)))))))))</f>
        <v>0</v>
      </c>
      <c r="K347" s="300"/>
    </row>
    <row r="348" spans="1:11" x14ac:dyDescent="0.2">
      <c r="A348" s="82">
        <f>'P9'!B23</f>
        <v>0</v>
      </c>
      <c r="B348" s="302">
        <f ca="1">IF('W9'!$C$5=0,"",IF(AND('R9'!$S$4="Multi",'R9'!$R$4="FY"),ROUND(((1+'R9'!$M28)^'W9'!$B$20*'W9'!$C$9+(1+'R9'!$M28)^('W9'!$B$20+1)*'W9'!$C$10)/('W9'!$C$5)*'R9'!$E28,0),(IF(AND('R9'!$S$4="Multi",'R9'!$R$4="PY"),ROUND('R9'!$E28/('W9'!$C$5)*'W9'!$C$5,0),(IF(AND('R9'!$S$4&lt;&gt;"Multi",'R9'!$R$4="FY"),ROUND(((1+'R9'!$S$4)^'W9'!$B$20*'W9'!$C$9+(1+'R9'!$S$4)^('W9'!$B$20+1)*'W9'!$C$10)/'W9'!$C$5*'R9'!$E28,0),ROUND('R9'!$E28/'W9'!$C$5*'W9'!$C$5,0)))))))</f>
        <v>0</v>
      </c>
      <c r="C348" s="300"/>
      <c r="D348" s="302">
        <f ca="1">IF('W9'!$D$5=0,"",IF($C$4=$D$4,(IF(AND('R9'!$S$4="Multi",'R9'!$R$4="FY"),ROUND(((1+'R9'!$M28)^('W9'!$B$20)*'W9'!$D$9+(1+'R9'!$M28)^('W9'!$B$20+1)*'W9'!$D$10)/'W9'!$D$5*'R9'!$E28,0),(IF(AND('R9'!$S$4="Multi",'R9'!$R$4="PY"),ROUND('R9'!$E28*(1+'R9'!$M28)/'W9'!$D$5*'W9'!$D$5,0),(IF(AND('R9'!$S$4&lt;&gt;"Multi",'R9'!$R$4="FY"),ROUND(((1+'R9'!$S$4)^('W9'!$B$20)*'W9'!$D$9+(1+'R9'!$S$4)^('W9'!$B$20+1)*'W9'!$D$10)/'W9'!$D$5*'R9'!$E28,0),ROUND('R9'!$E28*(1+'R9'!$S$4)/'W9'!$D$5*'W9'!$D$5,0))))))),(IF(AND('R9'!$S$4="Multi",'R9'!$R$4="FY"),ROUND(((1+'R9'!$M28)^('W9'!$B$20+1)*'W9'!$D$9+(1+'R9'!$M28)^('W9'!$B$20+2)*'W9'!$D$10)/'W9'!$D$5*'R9'!$E28,0),(IF(AND('R9'!$S$4="Multi",'R9'!$R$4="PY"),ROUND('R9'!$E28*(1+'R9'!$M28)/'W9'!$D$5*'W9'!$D$5,0),(IF(AND('R9'!$S$4&lt;&gt;"Multi",'R9'!$R$4="FY"),ROUND(((1+'R9'!$S$4)^('W9'!$B$20+1)*'W9'!$D$9+(1+'R9'!$S$4)^('W9'!$B$20+2)*'W9'!$D$10)/'W9'!$D$5*'R9'!$E28,0),ROUND('R9'!$E28*(1+'R9'!$S$4)/'W9'!$D$5*'W9'!$D$5,0)))))))))</f>
        <v>0</v>
      </c>
      <c r="E348" s="300"/>
      <c r="F348" s="302">
        <f ca="1">IF('W9'!$E$5=0,"",IF($C$4=$D$4,(IF(AND('R9'!$S$4="Multi",'R9'!$R$4="FY"),ROUND(((1+'R9'!$M28)^('W9'!$B$20+1)*'W9'!$E$9+(1+'R9'!$M28)^('W9'!$B$20+3)*'W9'!$E$10)/'W9'!$E$5*'R9'!$E28,0),(IF(AND('R9'!$S$4="Multi",'R9'!$R$4="PY"),ROUND('R9'!$E28*((1+'R9'!$M28)^2)/'W9'!$E$5*'W9'!$E$5,0),(IF(AND('R9'!$S$4&lt;&gt;"Multi",'R9'!$R$4="FY"),ROUND(((1+'R9'!$S$4)^('W9'!$B$20+1)*'W9'!$E$9+(1+'R9'!$S$4)^('W9'!$B$20+2)*'W9'!$E$10)/'W9'!$E$5*'R9'!$E28,0),ROUND('R9'!$E28*((1+'R9'!$S$4)^2)/'W9'!$E$5*'W9'!$E$5,0))))))),(IF(AND('R9'!$S$4="Multi",'R9'!$R$4="FY"),ROUND(((1+'R9'!$M28)^('W9'!$B$20+2)*'W9'!$E$9+(1+'R9'!$M28)^('W9'!$B$20+3)*'W9'!$E$10)/'W9'!$E$5*'R9'!$E28,0),(IF(AND('R9'!$S$4="Multi",'R9'!$R$4="PY"),ROUND('R9'!$E28*((1+'R9'!$M28)^2)/'W9'!$E$5*'W9'!$E$5,0),(IF(AND('R9'!$S$4&lt;&gt;"Multi",'R9'!$R$4="FY"),ROUND(((1+'R9'!$S$4)^('W9'!$B$20+2)*'W9'!$E$9+(1+'R9'!$S$4)^('W9'!$B$20+3)*'W9'!$E$10)/'W9'!$E$5*'R9'!$E28,0),ROUND('R9'!$E28*((1+'R9'!$S$4)^2)/'W9'!$E$5*'W9'!$E$5,0)))))))))</f>
        <v>0</v>
      </c>
      <c r="G348" s="300"/>
      <c r="H348" s="302">
        <f ca="1">IF('W9'!$F$5=0,"",IF($C$4=$D$4,(IF(AND('R9'!$S$4="Multi",'R9'!$R$4="FY"),ROUND(((1+'R9'!$M28)^('W9'!$B$20+2)*'W9'!$F$9+(1+'R9'!$M28)^('W9'!$B$20+3)*'W9'!$F$10)/'W9'!$F$5*'R9'!$E28,0),(IF(AND('R9'!$S$4="Multi",'R9'!$R$4="PY"),ROUND('R9'!$E28*((1+'R9'!$M28)^3)/'W9'!$F$5*'W9'!$F$5,0),(IF(AND('R9'!$S$4&lt;&gt;"Multi",'R9'!$R$4="FY"),ROUND(((1+'R9'!$S$4)^('W9'!$B$20+2)*'W9'!$F$9+(1+'R9'!$S$4)^('W9'!$B$20+3)*'W9'!$F$10)/'W9'!$F$5*'R9'!$E28,0),ROUND('R9'!$E28*((1+'R9'!$S$4)^3)/'W9'!$F$5*'W9'!$F$5,0))))))),(IF(AND('R9'!$S$4="Multi",'R9'!$R$4="FY"),ROUND(((1+'R9'!$M28)^('W9'!$B$20+3)*'W9'!$F$9+(1+'R9'!$M28)^('W9'!$B$20+4)*'W9'!$F$10)/'W9'!$F$5*'R9'!$E28,0),(IF(AND('R9'!$S$4="Multi",'R9'!$R$4="PY"),ROUND('R9'!$E28*((1+'R9'!$M28)^3)/'W9'!$F$5*'W9'!$F$5,0),(IF(AND('R9'!$S$4&lt;&gt;"Multi",'R9'!$R$4="FY"),ROUND(((1+'R9'!$S$4)^('W9'!$B$20+3)*'W9'!$F$9+(1+'R9'!$S$4)^('W9'!$B$20+4)*'W9'!$F$10)/'W9'!$F$5*'R9'!$E28,0),ROUND('R9'!$E28*((1+'R9'!$S$4)^3)/'W9'!$F$5*'W9'!$F$5,0)))))))))</f>
        <v>0</v>
      </c>
      <c r="I348" s="300"/>
      <c r="J348" s="302">
        <f ca="1">IF('W9'!$G$5=0,"",IF($C$4=$D$4,(IF(AND('R9'!$S$4="Multi",'R9'!$R$4="FY"),ROUND(((1+'R9'!$M28)^('W9'!$B$20+3)*'W9'!$G$9+(1+'R9'!$M28)^('W9'!$B$20+4)*'W9'!$G$10)/'W9'!$G$5*'R9'!$E28,0),(IF(AND('R9'!$S$4="Multi",'R9'!$R$4="PY"),ROUND('R9'!$E28*((1+'R9'!$M28)^4)/'W9'!$G$5*'W9'!$G$5,0),(IF(AND('R9'!$S$4&lt;&gt;"Multi",'R9'!$R$4="FY"),ROUND(((1+'R9'!$S$4)^('W9'!$B$20+3)*'W9'!$G$9+(1+'R9'!$S$4)^('W9'!$B$20+4)*'W9'!$G$10)/'W9'!$G$5*'R9'!$E28,0),ROUND('R9'!$E28*((1+'R9'!$S$4)^4)/'W9'!$G$5*'W9'!$G$5,0))))))),(IF(AND('R9'!$S$4="Multi",'R9'!$R$4="FY"),ROUND(((1+'R9'!$M28)^('W9'!$B$20+4)*'W9'!$G$9+(1+'R9'!$M28)^('W9'!$B$20+5)*'W9'!$G$10)/'W9'!$G$5*'R9'!$E28,0),(IF(AND('R9'!$S$4="Multi",'R9'!$R$4="PY"),ROUND('R9'!$E28*((1+'R9'!$M28)^4)/'W9'!$G$5*'W9'!$G$5,0),(IF(AND('R9'!$S$4&lt;&gt;"Multi",'R9'!$R$4="FY"),ROUND(((1+'R9'!$S$4)^('W9'!$B$20+4)*'W9'!$G$9+(1+'R9'!$S$4)^('W9'!$B$20+5)*'W9'!$G$10)/'W9'!$G$5*'R9'!$E28,0),ROUND('R9'!$E28*((1+'R9'!$S$4)^4)/'W9'!$G$5*'W9'!$G$5,0)))))))))</f>
        <v>0</v>
      </c>
      <c r="K348" s="300"/>
    </row>
    <row r="349" spans="1:11" x14ac:dyDescent="0.2">
      <c r="A349" s="82">
        <f>'P9'!B24</f>
        <v>0</v>
      </c>
      <c r="B349" s="302">
        <f ca="1">IF('W9'!$C$5=0,"",IF(AND('R9'!$S$4="Multi",'R9'!$R$4="FY"),ROUND(((1+'R9'!$M29)^'W9'!$B$20*'W9'!$C$9+(1+'R9'!$M29)^('W9'!$B$20+1)*'W9'!$C$10)/('W9'!$C$5)*'R9'!$E29,0),(IF(AND('R9'!$S$4="Multi",'R9'!$R$4="PY"),ROUND('R9'!$E29/('W9'!$C$5)*'W9'!$C$5,0),(IF(AND('R9'!$S$4&lt;&gt;"Multi",'R9'!$R$4="FY"),ROUND(((1+'R9'!$S$4)^'W9'!$B$20*'W9'!$C$9+(1+'R9'!$S$4)^('W9'!$B$20+1)*'W9'!$C$10)/'W9'!$C$5*'R9'!$E29,0),ROUND('R9'!$E29/'W9'!$C$5*'W9'!$C$5,0)))))))</f>
        <v>0</v>
      </c>
      <c r="C349" s="300"/>
      <c r="D349" s="302">
        <f ca="1">IF('W9'!$D$5=0,"",IF($C$4=$D$4,(IF(AND('R9'!$S$4="Multi",'R9'!$R$4="FY"),ROUND(((1+'R9'!$M29)^('W9'!$B$20)*'W9'!$D$9+(1+'R9'!$M29)^('W9'!$B$20+1)*'W9'!$D$10)/'W9'!$D$5*'R9'!$E29,0),(IF(AND('R9'!$S$4="Multi",'R9'!$R$4="PY"),ROUND('R9'!$E29*(1+'R9'!$M29)/'W9'!$D$5*'W9'!$D$5,0),(IF(AND('R9'!$S$4&lt;&gt;"Multi",'R9'!$R$4="FY"),ROUND(((1+'R9'!$S$4)^('W9'!$B$20)*'W9'!$D$9+(1+'R9'!$S$4)^('W9'!$B$20+1)*'W9'!$D$10)/'W9'!$D$5*'R9'!$E29,0),ROUND('R9'!$E29*(1+'R9'!$S$4)/'W9'!$D$5*'W9'!$D$5,0))))))),(IF(AND('R9'!$S$4="Multi",'R9'!$R$4="FY"),ROUND(((1+'R9'!$M29)^('W9'!$B$20+1)*'W9'!$D$9+(1+'R9'!$M29)^('W9'!$B$20+2)*'W9'!$D$10)/'W9'!$D$5*'R9'!$E29,0),(IF(AND('R9'!$S$4="Multi",'R9'!$R$4="PY"),ROUND('R9'!$E29*(1+'R9'!$M29)/'W9'!$D$5*'W9'!$D$5,0),(IF(AND('R9'!$S$4&lt;&gt;"Multi",'R9'!$R$4="FY"),ROUND(((1+'R9'!$S$4)^('W9'!$B$20+1)*'W9'!$D$9+(1+'R9'!$S$4)^('W9'!$B$20+2)*'W9'!$D$10)/'W9'!$D$5*'R9'!$E29,0),ROUND('R9'!$E29*(1+'R9'!$S$4)/'W9'!$D$5*'W9'!$D$5,0)))))))))</f>
        <v>0</v>
      </c>
      <c r="E349" s="300"/>
      <c r="F349" s="302">
        <f ca="1">IF('W9'!$E$5=0,"",IF($C$4=$D$4,(IF(AND('R9'!$S$4="Multi",'R9'!$R$4="FY"),ROUND(((1+'R9'!$M29)^('W9'!$B$20+1)*'W9'!$E$9+(1+'R9'!$M29)^('W9'!$B$20+3)*'W9'!$E$10)/'W9'!$E$5*'R9'!$E29,0),(IF(AND('R9'!$S$4="Multi",'R9'!$R$4="PY"),ROUND('R9'!$E29*((1+'R9'!$M29)^2)/'W9'!$E$5*'W9'!$E$5,0),(IF(AND('R9'!$S$4&lt;&gt;"Multi",'R9'!$R$4="FY"),ROUND(((1+'R9'!$S$4)^('W9'!$B$20+1)*'W9'!$E$9+(1+'R9'!$S$4)^('W9'!$B$20+2)*'W9'!$E$10)/'W9'!$E$5*'R9'!$E29,0),ROUND('R9'!$E29*((1+'R9'!$S$4)^2)/'W9'!$E$5*'W9'!$E$5,0))))))),(IF(AND('R9'!$S$4="Multi",'R9'!$R$4="FY"),ROUND(((1+'R9'!$M29)^('W9'!$B$20+2)*'W9'!$E$9+(1+'R9'!$M29)^('W9'!$B$20+3)*'W9'!$E$10)/'W9'!$E$5*'R9'!$E29,0),(IF(AND('R9'!$S$4="Multi",'R9'!$R$4="PY"),ROUND('R9'!$E29*((1+'R9'!$M29)^2)/'W9'!$E$5*'W9'!$E$5,0),(IF(AND('R9'!$S$4&lt;&gt;"Multi",'R9'!$R$4="FY"),ROUND(((1+'R9'!$S$4)^('W9'!$B$20+2)*'W9'!$E$9+(1+'R9'!$S$4)^('W9'!$B$20+3)*'W9'!$E$10)/'W9'!$E$5*'R9'!$E29,0),ROUND('R9'!$E29*((1+'R9'!$S$4)^2)/'W9'!$E$5*'W9'!$E$5,0)))))))))</f>
        <v>0</v>
      </c>
      <c r="G349" s="300"/>
      <c r="H349" s="302">
        <f ca="1">IF('W9'!$F$5=0,"",IF($C$4=$D$4,(IF(AND('R9'!$S$4="Multi",'R9'!$R$4="FY"),ROUND(((1+'R9'!$M29)^('W9'!$B$20+2)*'W9'!$F$9+(1+'R9'!$M29)^('W9'!$B$20+3)*'W9'!$F$10)/'W9'!$F$5*'R9'!$E29,0),(IF(AND('R9'!$S$4="Multi",'R9'!$R$4="PY"),ROUND('R9'!$E29*((1+'R9'!$M29)^3)/'W9'!$F$5*'W9'!$F$5,0),(IF(AND('R9'!$S$4&lt;&gt;"Multi",'R9'!$R$4="FY"),ROUND(((1+'R9'!$S$4)^('W9'!$B$20+2)*'W9'!$F$9+(1+'R9'!$S$4)^('W9'!$B$20+3)*'W9'!$F$10)/'W9'!$F$5*'R9'!$E29,0),ROUND('R9'!$E29*((1+'R9'!$S$4)^3)/'W9'!$F$5*'W9'!$F$5,0))))))),(IF(AND('R9'!$S$4="Multi",'R9'!$R$4="FY"),ROUND(((1+'R9'!$M29)^('W9'!$B$20+3)*'W9'!$F$9+(1+'R9'!$M29)^('W9'!$B$20+4)*'W9'!$F$10)/'W9'!$F$5*'R9'!$E29,0),(IF(AND('R9'!$S$4="Multi",'R9'!$R$4="PY"),ROUND('R9'!$E29*((1+'R9'!$M29)^3)/'W9'!$F$5*'W9'!$F$5,0),(IF(AND('R9'!$S$4&lt;&gt;"Multi",'R9'!$R$4="FY"),ROUND(((1+'R9'!$S$4)^('W9'!$B$20+3)*'W9'!$F$9+(1+'R9'!$S$4)^('W9'!$B$20+4)*'W9'!$F$10)/'W9'!$F$5*'R9'!$E29,0),ROUND('R9'!$E29*((1+'R9'!$S$4)^3)/'W9'!$F$5*'W9'!$F$5,0)))))))))</f>
        <v>0</v>
      </c>
      <c r="I349" s="300"/>
      <c r="J349" s="302">
        <f ca="1">IF('W9'!$G$5=0,"",IF($C$4=$D$4,(IF(AND('R9'!$S$4="Multi",'R9'!$R$4="FY"),ROUND(((1+'R9'!$M29)^('W9'!$B$20+3)*'W9'!$G$9+(1+'R9'!$M29)^('W9'!$B$20+4)*'W9'!$G$10)/'W9'!$G$5*'R9'!$E29,0),(IF(AND('R9'!$S$4="Multi",'R9'!$R$4="PY"),ROUND('R9'!$E29*((1+'R9'!$M29)^4)/'W9'!$G$5*'W9'!$G$5,0),(IF(AND('R9'!$S$4&lt;&gt;"Multi",'R9'!$R$4="FY"),ROUND(((1+'R9'!$S$4)^('W9'!$B$20+3)*'W9'!$G$9+(1+'R9'!$S$4)^('W9'!$B$20+4)*'W9'!$G$10)/'W9'!$G$5*'R9'!$E29,0),ROUND('R9'!$E29*((1+'R9'!$S$4)^4)/'W9'!$G$5*'W9'!$G$5,0))))))),(IF(AND('R9'!$S$4="Multi",'R9'!$R$4="FY"),ROUND(((1+'R9'!$M29)^('W9'!$B$20+4)*'W9'!$G$9+(1+'R9'!$M29)^('W9'!$B$20+5)*'W9'!$G$10)/'W9'!$G$5*'R9'!$E29,0),(IF(AND('R9'!$S$4="Multi",'R9'!$R$4="PY"),ROUND('R9'!$E29*((1+'R9'!$M29)^4)/'W9'!$G$5*'W9'!$G$5,0),(IF(AND('R9'!$S$4&lt;&gt;"Multi",'R9'!$R$4="FY"),ROUND(((1+'R9'!$S$4)^('W9'!$B$20+4)*'W9'!$G$9+(1+'R9'!$S$4)^('W9'!$B$20+5)*'W9'!$G$10)/'W9'!$G$5*'R9'!$E29,0),ROUND('R9'!$E29*((1+'R9'!$S$4)^4)/'W9'!$G$5*'W9'!$G$5,0)))))))))</f>
        <v>0</v>
      </c>
      <c r="K349" s="300"/>
    </row>
    <row r="350" spans="1:11" x14ac:dyDescent="0.2">
      <c r="A350" s="82">
        <f>'P9'!B25</f>
        <v>0</v>
      </c>
      <c r="B350" s="302">
        <f ca="1">IF('W9'!$C$5=0,"",IF(AND('R9'!$S$4="Multi",'R9'!$R$4="FY"),ROUND(((1+'R9'!$M30)^'W9'!$B$20*'W9'!$C$9+(1+'R9'!$M30)^('W9'!$B$20+1)*'W9'!$C$10)/('W9'!$C$5)*'R9'!$E30,0),(IF(AND('R9'!$S$4="Multi",'R9'!$R$4="PY"),ROUND('R9'!$E30/('W9'!$C$5)*'W9'!$C$5,0),(IF(AND('R9'!$S$4&lt;&gt;"Multi",'R9'!$R$4="FY"),ROUND(((1+'R9'!$S$4)^'W9'!$B$20*'W9'!$C$9+(1+'R9'!$S$4)^('W9'!$B$20+1)*'W9'!$C$10)/'W9'!$C$5*'R9'!$E30,0),ROUND('R9'!$E30/'W9'!$C$5*'W9'!$C$5,0)))))))</f>
        <v>0</v>
      </c>
      <c r="C350" s="300"/>
      <c r="D350" s="302">
        <f ca="1">IF('W9'!$D$5=0,"",IF($C$4=$D$4,(IF(AND('R9'!$S$4="Multi",'R9'!$R$4="FY"),ROUND(((1+'R9'!$M30)^('W9'!$B$20)*'W9'!$D$9+(1+'R9'!$M30)^('W9'!$B$20+1)*'W9'!$D$10)/'W9'!$D$5*'R9'!$E30,0),(IF(AND('R9'!$S$4="Multi",'R9'!$R$4="PY"),ROUND('R9'!$E30*(1+'R9'!$M30)/'W9'!$D$5*'W9'!$D$5,0),(IF(AND('R9'!$S$4&lt;&gt;"Multi",'R9'!$R$4="FY"),ROUND(((1+'R9'!$S$4)^('W9'!$B$20)*'W9'!$D$9+(1+'R9'!$S$4)^('W9'!$B$20+1)*'W9'!$D$10)/'W9'!$D$5*'R9'!$E30,0),ROUND('R9'!$E30*(1+'R9'!$S$4)/'W9'!$D$5*'W9'!$D$5,0))))))),(IF(AND('R9'!$S$4="Multi",'R9'!$R$4="FY"),ROUND(((1+'R9'!$M30)^('W9'!$B$20+1)*'W9'!$D$9+(1+'R9'!$M30)^('W9'!$B$20+2)*'W9'!$D$10)/'W9'!$D$5*'R9'!$E30,0),(IF(AND('R9'!$S$4="Multi",'R9'!$R$4="PY"),ROUND('R9'!$E30*(1+'R9'!$M30)/'W9'!$D$5*'W9'!$D$5,0),(IF(AND('R9'!$S$4&lt;&gt;"Multi",'R9'!$R$4="FY"),ROUND(((1+'R9'!$S$4)^('W9'!$B$20+1)*'W9'!$D$9+(1+'R9'!$S$4)^('W9'!$B$20+2)*'W9'!$D$10)/'W9'!$D$5*'R9'!$E30,0),ROUND('R9'!$E30*(1+'R9'!$S$4)/'W9'!$D$5*'W9'!$D$5,0)))))))))</f>
        <v>0</v>
      </c>
      <c r="E350" s="300"/>
      <c r="F350" s="302">
        <f ca="1">IF('W9'!$E$5=0,"",IF($C$4=$D$4,(IF(AND('R9'!$S$4="Multi",'R9'!$R$4="FY"),ROUND(((1+'R9'!$M30)^('W9'!$B$20+1)*'W9'!$E$9+(1+'R9'!$M30)^('W9'!$B$20+3)*'W9'!$E$10)/'W9'!$E$5*'R9'!$E30,0),(IF(AND('R9'!$S$4="Multi",'R9'!$R$4="PY"),ROUND('R9'!$E30*((1+'R9'!$M30)^2)/'W9'!$E$5*'W9'!$E$5,0),(IF(AND('R9'!$S$4&lt;&gt;"Multi",'R9'!$R$4="FY"),ROUND(((1+'R9'!$S$4)^('W9'!$B$20+1)*'W9'!$E$9+(1+'R9'!$S$4)^('W9'!$B$20+2)*'W9'!$E$10)/'W9'!$E$5*'R9'!$E30,0),ROUND('R9'!$E30*((1+'R9'!$S$4)^2)/'W9'!$E$5*'W9'!$E$5,0))))))),(IF(AND('R9'!$S$4="Multi",'R9'!$R$4="FY"),ROUND(((1+'R9'!$M30)^('W9'!$B$20+2)*'W9'!$E$9+(1+'R9'!$M30)^('W9'!$B$20+3)*'W9'!$E$10)/'W9'!$E$5*'R9'!$E30,0),(IF(AND('R9'!$S$4="Multi",'R9'!$R$4="PY"),ROUND('R9'!$E30*((1+'R9'!$M30)^2)/'W9'!$E$5*'W9'!$E$5,0),(IF(AND('R9'!$S$4&lt;&gt;"Multi",'R9'!$R$4="FY"),ROUND(((1+'R9'!$S$4)^('W9'!$B$20+2)*'W9'!$E$9+(1+'R9'!$S$4)^('W9'!$B$20+3)*'W9'!$E$10)/'W9'!$E$5*'R9'!$E30,0),ROUND('R9'!$E30*((1+'R9'!$S$4)^2)/'W9'!$E$5*'W9'!$E$5,0)))))))))</f>
        <v>0</v>
      </c>
      <c r="G350" s="300"/>
      <c r="H350" s="302">
        <f ca="1">IF('W9'!$F$5=0,"",IF($C$4=$D$4,(IF(AND('R9'!$S$4="Multi",'R9'!$R$4="FY"),ROUND(((1+'R9'!$M30)^('W9'!$B$20+2)*'W9'!$F$9+(1+'R9'!$M30)^('W9'!$B$20+3)*'W9'!$F$10)/'W9'!$F$5*'R9'!$E30,0),(IF(AND('R9'!$S$4="Multi",'R9'!$R$4="PY"),ROUND('R9'!$E30*((1+'R9'!$M30)^3)/'W9'!$F$5*'W9'!$F$5,0),(IF(AND('R9'!$S$4&lt;&gt;"Multi",'R9'!$R$4="FY"),ROUND(((1+'R9'!$S$4)^('W9'!$B$20+2)*'W9'!$F$9+(1+'R9'!$S$4)^('W9'!$B$20+3)*'W9'!$F$10)/'W9'!$F$5*'R9'!$E30,0),ROUND('R9'!$E30*((1+'R9'!$S$4)^3)/'W9'!$F$5*'W9'!$F$5,0))))))),(IF(AND('R9'!$S$4="Multi",'R9'!$R$4="FY"),ROUND(((1+'R9'!$M30)^('W9'!$B$20+3)*'W9'!$F$9+(1+'R9'!$M30)^('W9'!$B$20+4)*'W9'!$F$10)/'W9'!$F$5*'R9'!$E30,0),(IF(AND('R9'!$S$4="Multi",'R9'!$R$4="PY"),ROUND('R9'!$E30*((1+'R9'!$M30)^3)/'W9'!$F$5*'W9'!$F$5,0),(IF(AND('R9'!$S$4&lt;&gt;"Multi",'R9'!$R$4="FY"),ROUND(((1+'R9'!$S$4)^('W9'!$B$20+3)*'W9'!$F$9+(1+'R9'!$S$4)^('W9'!$B$20+4)*'W9'!$F$10)/'W9'!$F$5*'R9'!$E30,0),ROUND('R9'!$E30*((1+'R9'!$S$4)^3)/'W9'!$F$5*'W9'!$F$5,0)))))))))</f>
        <v>0</v>
      </c>
      <c r="I350" s="300"/>
      <c r="J350" s="302">
        <f ca="1">IF('W9'!$G$5=0,"",IF($C$4=$D$4,(IF(AND('R9'!$S$4="Multi",'R9'!$R$4="FY"),ROUND(((1+'R9'!$M30)^('W9'!$B$20+3)*'W9'!$G$9+(1+'R9'!$M30)^('W9'!$B$20+4)*'W9'!$G$10)/'W9'!$G$5*'R9'!$E30,0),(IF(AND('R9'!$S$4="Multi",'R9'!$R$4="PY"),ROUND('R9'!$E30*((1+'R9'!$M30)^4)/'W9'!$G$5*'W9'!$G$5,0),(IF(AND('R9'!$S$4&lt;&gt;"Multi",'R9'!$R$4="FY"),ROUND(((1+'R9'!$S$4)^('W9'!$B$20+3)*'W9'!$G$9+(1+'R9'!$S$4)^('W9'!$B$20+4)*'W9'!$G$10)/'W9'!$G$5*'R9'!$E30,0),ROUND('R9'!$E30*((1+'R9'!$S$4)^4)/'W9'!$G$5*'W9'!$G$5,0))))))),(IF(AND('R9'!$S$4="Multi",'R9'!$R$4="FY"),ROUND(((1+'R9'!$M30)^('W9'!$B$20+4)*'W9'!$G$9+(1+'R9'!$M30)^('W9'!$B$20+5)*'W9'!$G$10)/'W9'!$G$5*'R9'!$E30,0),(IF(AND('R9'!$S$4="Multi",'R9'!$R$4="PY"),ROUND('R9'!$E30*((1+'R9'!$M30)^4)/'W9'!$G$5*'W9'!$G$5,0),(IF(AND('R9'!$S$4&lt;&gt;"Multi",'R9'!$R$4="FY"),ROUND(((1+'R9'!$S$4)^('W9'!$B$20+4)*'W9'!$G$9+(1+'R9'!$S$4)^('W9'!$B$20+5)*'W9'!$G$10)/'W9'!$G$5*'R9'!$E30,0),ROUND('R9'!$E30*((1+'R9'!$S$4)^4)/'W9'!$G$5*'W9'!$G$5,0)))))))))</f>
        <v>0</v>
      </c>
      <c r="K350" s="300"/>
    </row>
    <row r="351" spans="1:11" x14ac:dyDescent="0.2">
      <c r="A351" s="82">
        <f>'P9'!B26</f>
        <v>0</v>
      </c>
      <c r="B351" s="302">
        <f ca="1">IF('W9'!$C$5=0,"",IF(AND('R9'!$S$4="Multi",'R9'!$R$4="FY"),ROUND(((1+'R9'!$M31)^'W9'!$B$20*'W9'!$C$9+(1+'R9'!$M31)^('W9'!$B$20+1)*'W9'!$C$10)/('W9'!$C$5)*'R9'!$E31,0),(IF(AND('R9'!$S$4="Multi",'R9'!$R$4="PY"),ROUND('R9'!$E31/('W9'!$C$5)*'W9'!$C$5,0),(IF(AND('R9'!$S$4&lt;&gt;"Multi",'R9'!$R$4="FY"),ROUND(((1+'R9'!$S$4)^'W9'!$B$20*'W9'!$C$9+(1+'R9'!$S$4)^('W9'!$B$20+1)*'W9'!$C$10)/'W9'!$C$5*'R9'!$E31,0),ROUND('R9'!$E31/'W9'!$C$5*'W9'!$C$5,0)))))))</f>
        <v>0</v>
      </c>
      <c r="C351" s="300"/>
      <c r="D351" s="302">
        <f ca="1">IF('W9'!$D$5=0,"",IF($C$4=$D$4,(IF(AND('R9'!$S$4="Multi",'R9'!$R$4="FY"),ROUND(((1+'R9'!$M31)^('W9'!$B$20)*'W9'!$D$9+(1+'R9'!$M31)^('W9'!$B$20+1)*'W9'!$D$10)/'W9'!$D$5*'R9'!$E31,0),(IF(AND('R9'!$S$4="Multi",'R9'!$R$4="PY"),ROUND('R9'!$E31*(1+'R9'!$M31)/'W9'!$D$5*'W9'!$D$5,0),(IF(AND('R9'!$S$4&lt;&gt;"Multi",'R9'!$R$4="FY"),ROUND(((1+'R9'!$S$4)^('W9'!$B$20)*'W9'!$D$9+(1+'R9'!$S$4)^('W9'!$B$20+1)*'W9'!$D$10)/'W9'!$D$5*'R9'!$E31,0),ROUND('R9'!$E31*(1+'R9'!$S$4)/'W9'!$D$5*'W9'!$D$5,0))))))),(IF(AND('R9'!$S$4="Multi",'R9'!$R$4="FY"),ROUND(((1+'R9'!$M31)^('W9'!$B$20+1)*'W9'!$D$9+(1+'R9'!$M31)^('W9'!$B$20+2)*'W9'!$D$10)/'W9'!$D$5*'R9'!$E31,0),(IF(AND('R9'!$S$4="Multi",'R9'!$R$4="PY"),ROUND('R9'!$E31*(1+'R9'!$M31)/'W9'!$D$5*'W9'!$D$5,0),(IF(AND('R9'!$S$4&lt;&gt;"Multi",'R9'!$R$4="FY"),ROUND(((1+'R9'!$S$4)^('W9'!$B$20+1)*'W9'!$D$9+(1+'R9'!$S$4)^('W9'!$B$20+2)*'W9'!$D$10)/'W9'!$D$5*'R9'!$E31,0),ROUND('R9'!$E31*(1+'R9'!$S$4)/'W9'!$D$5*'W9'!$D$5,0)))))))))</f>
        <v>0</v>
      </c>
      <c r="E351" s="300"/>
      <c r="F351" s="302">
        <f ca="1">IF('W9'!$E$5=0,"",IF($C$4=$D$4,(IF(AND('R9'!$S$4="Multi",'R9'!$R$4="FY"),ROUND(((1+'R9'!$M31)^('W9'!$B$20+1)*'W9'!$E$9+(1+'R9'!$M31)^('W9'!$B$20+3)*'W9'!$E$10)/'W9'!$E$5*'R9'!$E31,0),(IF(AND('R9'!$S$4="Multi",'R9'!$R$4="PY"),ROUND('R9'!$E31*((1+'R9'!$M31)^2)/'W9'!$E$5*'W9'!$E$5,0),(IF(AND('R9'!$S$4&lt;&gt;"Multi",'R9'!$R$4="FY"),ROUND(((1+'R9'!$S$4)^('W9'!$B$20+1)*'W9'!$E$9+(1+'R9'!$S$4)^('W9'!$B$20+2)*'W9'!$E$10)/'W9'!$E$5*'R9'!$E31,0),ROUND('R9'!$E31*((1+'R9'!$S$4)^2)/'W9'!$E$5*'W9'!$E$5,0))))))),(IF(AND('R9'!$S$4="Multi",'R9'!$R$4="FY"),ROUND(((1+'R9'!$M31)^('W9'!$B$20+2)*'W9'!$E$9+(1+'R9'!$M31)^('W9'!$B$20+3)*'W9'!$E$10)/'W9'!$E$5*'R9'!$E31,0),(IF(AND('R9'!$S$4="Multi",'R9'!$R$4="PY"),ROUND('R9'!$E31*((1+'R9'!$M31)^2)/'W9'!$E$5*'W9'!$E$5,0),(IF(AND('R9'!$S$4&lt;&gt;"Multi",'R9'!$R$4="FY"),ROUND(((1+'R9'!$S$4)^('W9'!$B$20+2)*'W9'!$E$9+(1+'R9'!$S$4)^('W9'!$B$20+3)*'W9'!$E$10)/'W9'!$E$5*'R9'!$E31,0),ROUND('R9'!$E31*((1+'R9'!$S$4)^2)/'W9'!$E$5*'W9'!$E$5,0)))))))))</f>
        <v>0</v>
      </c>
      <c r="G351" s="300"/>
      <c r="H351" s="302">
        <f ca="1">IF('W9'!$F$5=0,"",IF($C$4=$D$4,(IF(AND('R9'!$S$4="Multi",'R9'!$R$4="FY"),ROUND(((1+'R9'!$M31)^('W9'!$B$20+2)*'W9'!$F$9+(1+'R9'!$M31)^('W9'!$B$20+3)*'W9'!$F$10)/'W9'!$F$5*'R9'!$E31,0),(IF(AND('R9'!$S$4="Multi",'R9'!$R$4="PY"),ROUND('R9'!$E31*((1+'R9'!$M31)^3)/'W9'!$F$5*'W9'!$F$5,0),(IF(AND('R9'!$S$4&lt;&gt;"Multi",'R9'!$R$4="FY"),ROUND(((1+'R9'!$S$4)^('W9'!$B$20+2)*'W9'!$F$9+(1+'R9'!$S$4)^('W9'!$B$20+3)*'W9'!$F$10)/'W9'!$F$5*'R9'!$E31,0),ROUND('R9'!$E31*((1+'R9'!$S$4)^3)/'W9'!$F$5*'W9'!$F$5,0))))))),(IF(AND('R9'!$S$4="Multi",'R9'!$R$4="FY"),ROUND(((1+'R9'!$M31)^('W9'!$B$20+3)*'W9'!$F$9+(1+'R9'!$M31)^('W9'!$B$20+4)*'W9'!$F$10)/'W9'!$F$5*'R9'!$E31,0),(IF(AND('R9'!$S$4="Multi",'R9'!$R$4="PY"),ROUND('R9'!$E31*((1+'R9'!$M31)^3)/'W9'!$F$5*'W9'!$F$5,0),(IF(AND('R9'!$S$4&lt;&gt;"Multi",'R9'!$R$4="FY"),ROUND(((1+'R9'!$S$4)^('W9'!$B$20+3)*'W9'!$F$9+(1+'R9'!$S$4)^('W9'!$B$20+4)*'W9'!$F$10)/'W9'!$F$5*'R9'!$E31,0),ROUND('R9'!$E31*((1+'R9'!$S$4)^3)/'W9'!$F$5*'W9'!$F$5,0)))))))))</f>
        <v>0</v>
      </c>
      <c r="I351" s="300"/>
      <c r="J351" s="302">
        <f ca="1">IF('W9'!$G$5=0,"",IF($C$4=$D$4,(IF(AND('R9'!$S$4="Multi",'R9'!$R$4="FY"),ROUND(((1+'R9'!$M31)^('W9'!$B$20+3)*'W9'!$G$9+(1+'R9'!$M31)^('W9'!$B$20+4)*'W9'!$G$10)/'W9'!$G$5*'R9'!$E31,0),(IF(AND('R9'!$S$4="Multi",'R9'!$R$4="PY"),ROUND('R9'!$E31*((1+'R9'!$M31)^4)/'W9'!$G$5*'W9'!$G$5,0),(IF(AND('R9'!$S$4&lt;&gt;"Multi",'R9'!$R$4="FY"),ROUND(((1+'R9'!$S$4)^('W9'!$B$20+3)*'W9'!$G$9+(1+'R9'!$S$4)^('W9'!$B$20+4)*'W9'!$G$10)/'W9'!$G$5*'R9'!$E31,0),ROUND('R9'!$E31*((1+'R9'!$S$4)^4)/'W9'!$G$5*'W9'!$G$5,0))))))),(IF(AND('R9'!$S$4="Multi",'R9'!$R$4="FY"),ROUND(((1+'R9'!$M31)^('W9'!$B$20+4)*'W9'!$G$9+(1+'R9'!$M31)^('W9'!$B$20+5)*'W9'!$G$10)/'W9'!$G$5*'R9'!$E31,0),(IF(AND('R9'!$S$4="Multi",'R9'!$R$4="PY"),ROUND('R9'!$E31*((1+'R9'!$M31)^4)/'W9'!$G$5*'W9'!$G$5,0),(IF(AND('R9'!$S$4&lt;&gt;"Multi",'R9'!$R$4="FY"),ROUND(((1+'R9'!$S$4)^('W9'!$B$20+4)*'W9'!$G$9+(1+'R9'!$S$4)^('W9'!$B$20+5)*'W9'!$G$10)/'W9'!$G$5*'R9'!$E31,0),ROUND('R9'!$E31*((1+'R9'!$S$4)^4)/'W9'!$G$5*'W9'!$G$5,0)))))))))</f>
        <v>0</v>
      </c>
      <c r="K351" s="300"/>
    </row>
    <row r="353" spans="1:11" x14ac:dyDescent="0.2">
      <c r="A353" s="80" t="s">
        <v>183</v>
      </c>
      <c r="B353" s="301" t="s">
        <v>134</v>
      </c>
      <c r="C353" s="301"/>
      <c r="D353" s="301" t="s">
        <v>135</v>
      </c>
      <c r="E353" s="301"/>
      <c r="F353" s="301" t="s">
        <v>136</v>
      </c>
      <c r="G353" s="301"/>
      <c r="H353" s="301" t="s">
        <v>139</v>
      </c>
      <c r="I353" s="301"/>
      <c r="J353" s="301" t="s">
        <v>137</v>
      </c>
      <c r="K353" s="301"/>
    </row>
    <row r="354" spans="1:11" x14ac:dyDescent="0.2">
      <c r="A354" s="82"/>
      <c r="B354" s="299">
        <f ca="1">IF(B328="","",ROUND(B328/12*9,0))</f>
        <v>0</v>
      </c>
      <c r="C354" s="300"/>
      <c r="D354" s="299">
        <f ca="1">IF(D328="","",ROUND(D328/12*9,0))</f>
        <v>0</v>
      </c>
      <c r="E354" s="300"/>
      <c r="F354" s="299">
        <f ca="1">IF(F328="","",ROUND(F328/12*9,0))</f>
        <v>0</v>
      </c>
      <c r="G354" s="300"/>
      <c r="H354" s="299">
        <f ca="1">IF(H328="","",ROUND(H328/12*9,0))</f>
        <v>0</v>
      </c>
      <c r="I354" s="300"/>
      <c r="J354" s="299">
        <f ca="1">IF(J328="","",ROUND(J328/12*9,0))</f>
        <v>0</v>
      </c>
      <c r="K354" s="300"/>
    </row>
    <row r="355" spans="1:11" x14ac:dyDescent="0.2">
      <c r="A355" s="82"/>
      <c r="B355" s="299">
        <f t="shared" ref="B355:B377" ca="1" si="69">IF(B329="","",ROUND(B329/12*9,0))</f>
        <v>0</v>
      </c>
      <c r="C355" s="300"/>
      <c r="D355" s="299">
        <f t="shared" ref="D355:D377" ca="1" si="70">IF(D329="","",ROUND(D329/12*9,0))</f>
        <v>0</v>
      </c>
      <c r="E355" s="300"/>
      <c r="F355" s="299">
        <f t="shared" ref="F355:F377" ca="1" si="71">IF(F329="","",ROUND(F329/12*9,0))</f>
        <v>0</v>
      </c>
      <c r="G355" s="300"/>
      <c r="H355" s="299">
        <f t="shared" ref="H355:H377" ca="1" si="72">IF(H329="","",ROUND(H329/12*9,0))</f>
        <v>0</v>
      </c>
      <c r="I355" s="300"/>
      <c r="J355" s="299">
        <f t="shared" ref="J355:J377" ca="1" si="73">IF(J329="","",ROUND(J329/12*9,0))</f>
        <v>0</v>
      </c>
      <c r="K355" s="300"/>
    </row>
    <row r="356" spans="1:11" x14ac:dyDescent="0.2">
      <c r="A356" s="82"/>
      <c r="B356" s="299">
        <f t="shared" ca="1" si="69"/>
        <v>0</v>
      </c>
      <c r="C356" s="300"/>
      <c r="D356" s="299">
        <f t="shared" ca="1" si="70"/>
        <v>0</v>
      </c>
      <c r="E356" s="300"/>
      <c r="F356" s="299">
        <f t="shared" ca="1" si="71"/>
        <v>0</v>
      </c>
      <c r="G356" s="300"/>
      <c r="H356" s="299">
        <f t="shared" ca="1" si="72"/>
        <v>0</v>
      </c>
      <c r="I356" s="300"/>
      <c r="J356" s="299">
        <f t="shared" ca="1" si="73"/>
        <v>0</v>
      </c>
      <c r="K356" s="300"/>
    </row>
    <row r="357" spans="1:11" x14ac:dyDescent="0.2">
      <c r="A357" s="82"/>
      <c r="B357" s="299">
        <f t="shared" ca="1" si="69"/>
        <v>0</v>
      </c>
      <c r="C357" s="300"/>
      <c r="D357" s="299">
        <f t="shared" ca="1" si="70"/>
        <v>0</v>
      </c>
      <c r="E357" s="300"/>
      <c r="F357" s="299">
        <f t="shared" ca="1" si="71"/>
        <v>0</v>
      </c>
      <c r="G357" s="300"/>
      <c r="H357" s="299">
        <f t="shared" ca="1" si="72"/>
        <v>0</v>
      </c>
      <c r="I357" s="300"/>
      <c r="J357" s="299">
        <f t="shared" ca="1" si="73"/>
        <v>0</v>
      </c>
      <c r="K357" s="300"/>
    </row>
    <row r="358" spans="1:11" x14ac:dyDescent="0.2">
      <c r="A358" s="82"/>
      <c r="B358" s="299">
        <f t="shared" ca="1" si="69"/>
        <v>0</v>
      </c>
      <c r="C358" s="300"/>
      <c r="D358" s="299">
        <f t="shared" ca="1" si="70"/>
        <v>0</v>
      </c>
      <c r="E358" s="300"/>
      <c r="F358" s="299">
        <f t="shared" ca="1" si="71"/>
        <v>0</v>
      </c>
      <c r="G358" s="300"/>
      <c r="H358" s="299">
        <f t="shared" ca="1" si="72"/>
        <v>0</v>
      </c>
      <c r="I358" s="300"/>
      <c r="J358" s="299">
        <f t="shared" ca="1" si="73"/>
        <v>0</v>
      </c>
      <c r="K358" s="300"/>
    </row>
    <row r="359" spans="1:11" x14ac:dyDescent="0.2">
      <c r="A359" s="82"/>
      <c r="B359" s="299">
        <f t="shared" ca="1" si="69"/>
        <v>0</v>
      </c>
      <c r="C359" s="300"/>
      <c r="D359" s="299">
        <f t="shared" ca="1" si="70"/>
        <v>0</v>
      </c>
      <c r="E359" s="300"/>
      <c r="F359" s="299">
        <f t="shared" ca="1" si="71"/>
        <v>0</v>
      </c>
      <c r="G359" s="300"/>
      <c r="H359" s="299">
        <f t="shared" ca="1" si="72"/>
        <v>0</v>
      </c>
      <c r="I359" s="300"/>
      <c r="J359" s="299">
        <f t="shared" ca="1" si="73"/>
        <v>0</v>
      </c>
      <c r="K359" s="300"/>
    </row>
    <row r="360" spans="1:11" x14ac:dyDescent="0.2">
      <c r="A360" s="82"/>
      <c r="B360" s="299">
        <f t="shared" ca="1" si="69"/>
        <v>0</v>
      </c>
      <c r="C360" s="300"/>
      <c r="D360" s="299">
        <f t="shared" ca="1" si="70"/>
        <v>0</v>
      </c>
      <c r="E360" s="300"/>
      <c r="F360" s="299">
        <f t="shared" ca="1" si="71"/>
        <v>0</v>
      </c>
      <c r="G360" s="300"/>
      <c r="H360" s="299">
        <f t="shared" ca="1" si="72"/>
        <v>0</v>
      </c>
      <c r="I360" s="300"/>
      <c r="J360" s="299">
        <f t="shared" ca="1" si="73"/>
        <v>0</v>
      </c>
      <c r="K360" s="300"/>
    </row>
    <row r="361" spans="1:11" x14ac:dyDescent="0.2">
      <c r="A361" s="82"/>
      <c r="B361" s="299">
        <f t="shared" ca="1" si="69"/>
        <v>0</v>
      </c>
      <c r="C361" s="300"/>
      <c r="D361" s="299">
        <f t="shared" ca="1" si="70"/>
        <v>0</v>
      </c>
      <c r="E361" s="300"/>
      <c r="F361" s="299">
        <f t="shared" ca="1" si="71"/>
        <v>0</v>
      </c>
      <c r="G361" s="300"/>
      <c r="H361" s="299">
        <f t="shared" ca="1" si="72"/>
        <v>0</v>
      </c>
      <c r="I361" s="300"/>
      <c r="J361" s="299">
        <f t="shared" ca="1" si="73"/>
        <v>0</v>
      </c>
      <c r="K361" s="300"/>
    </row>
    <row r="362" spans="1:11" x14ac:dyDescent="0.2">
      <c r="A362" s="82"/>
      <c r="B362" s="299">
        <f t="shared" ca="1" si="69"/>
        <v>0</v>
      </c>
      <c r="C362" s="300"/>
      <c r="D362" s="299">
        <f t="shared" ca="1" si="70"/>
        <v>0</v>
      </c>
      <c r="E362" s="300"/>
      <c r="F362" s="299">
        <f t="shared" ca="1" si="71"/>
        <v>0</v>
      </c>
      <c r="G362" s="300"/>
      <c r="H362" s="299">
        <f t="shared" ca="1" si="72"/>
        <v>0</v>
      </c>
      <c r="I362" s="300"/>
      <c r="J362" s="299">
        <f t="shared" ca="1" si="73"/>
        <v>0</v>
      </c>
      <c r="K362" s="300"/>
    </row>
    <row r="363" spans="1:11" x14ac:dyDescent="0.2">
      <c r="A363" s="82"/>
      <c r="B363" s="299">
        <f t="shared" ca="1" si="69"/>
        <v>0</v>
      </c>
      <c r="C363" s="300"/>
      <c r="D363" s="299">
        <f t="shared" ca="1" si="70"/>
        <v>0</v>
      </c>
      <c r="E363" s="300"/>
      <c r="F363" s="299">
        <f t="shared" ca="1" si="71"/>
        <v>0</v>
      </c>
      <c r="G363" s="300"/>
      <c r="H363" s="299">
        <f t="shared" ca="1" si="72"/>
        <v>0</v>
      </c>
      <c r="I363" s="300"/>
      <c r="J363" s="299">
        <f t="shared" ca="1" si="73"/>
        <v>0</v>
      </c>
      <c r="K363" s="300"/>
    </row>
    <row r="364" spans="1:11" x14ac:dyDescent="0.2">
      <c r="A364" s="82"/>
      <c r="B364" s="299">
        <f t="shared" ca="1" si="69"/>
        <v>0</v>
      </c>
      <c r="C364" s="300"/>
      <c r="D364" s="299">
        <f t="shared" ca="1" si="70"/>
        <v>0</v>
      </c>
      <c r="E364" s="300"/>
      <c r="F364" s="299">
        <f t="shared" ca="1" si="71"/>
        <v>0</v>
      </c>
      <c r="G364" s="300"/>
      <c r="H364" s="299">
        <f t="shared" ca="1" si="72"/>
        <v>0</v>
      </c>
      <c r="I364" s="300"/>
      <c r="J364" s="299">
        <f t="shared" ca="1" si="73"/>
        <v>0</v>
      </c>
      <c r="K364" s="300"/>
    </row>
    <row r="365" spans="1:11" x14ac:dyDescent="0.2">
      <c r="A365" s="82"/>
      <c r="B365" s="299">
        <f t="shared" ca="1" si="69"/>
        <v>0</v>
      </c>
      <c r="C365" s="300"/>
      <c r="D365" s="299">
        <f t="shared" ca="1" si="70"/>
        <v>0</v>
      </c>
      <c r="E365" s="300"/>
      <c r="F365" s="299">
        <f t="shared" ca="1" si="71"/>
        <v>0</v>
      </c>
      <c r="G365" s="300"/>
      <c r="H365" s="299">
        <f t="shared" ca="1" si="72"/>
        <v>0</v>
      </c>
      <c r="I365" s="300"/>
      <c r="J365" s="299">
        <f t="shared" ca="1" si="73"/>
        <v>0</v>
      </c>
      <c r="K365" s="300"/>
    </row>
    <row r="366" spans="1:11" x14ac:dyDescent="0.2">
      <c r="A366" s="82"/>
      <c r="B366" s="299">
        <f t="shared" ca="1" si="69"/>
        <v>0</v>
      </c>
      <c r="C366" s="300"/>
      <c r="D366" s="299">
        <f t="shared" ca="1" si="70"/>
        <v>0</v>
      </c>
      <c r="E366" s="300"/>
      <c r="F366" s="299">
        <f t="shared" ca="1" si="71"/>
        <v>0</v>
      </c>
      <c r="G366" s="300"/>
      <c r="H366" s="299">
        <f t="shared" ca="1" si="72"/>
        <v>0</v>
      </c>
      <c r="I366" s="300"/>
      <c r="J366" s="299">
        <f t="shared" ca="1" si="73"/>
        <v>0</v>
      </c>
      <c r="K366" s="300"/>
    </row>
    <row r="367" spans="1:11" x14ac:dyDescent="0.2">
      <c r="A367" s="82"/>
      <c r="B367" s="299">
        <f t="shared" ca="1" si="69"/>
        <v>0</v>
      </c>
      <c r="C367" s="300"/>
      <c r="D367" s="299">
        <f t="shared" ca="1" si="70"/>
        <v>0</v>
      </c>
      <c r="E367" s="300"/>
      <c r="F367" s="299">
        <f t="shared" ca="1" si="71"/>
        <v>0</v>
      </c>
      <c r="G367" s="300"/>
      <c r="H367" s="299">
        <f t="shared" ca="1" si="72"/>
        <v>0</v>
      </c>
      <c r="I367" s="300"/>
      <c r="J367" s="299">
        <f t="shared" ca="1" si="73"/>
        <v>0</v>
      </c>
      <c r="K367" s="300"/>
    </row>
    <row r="368" spans="1:11" x14ac:dyDescent="0.2">
      <c r="A368" s="82"/>
      <c r="B368" s="299">
        <f t="shared" ca="1" si="69"/>
        <v>0</v>
      </c>
      <c r="C368" s="300"/>
      <c r="D368" s="299">
        <f t="shared" ca="1" si="70"/>
        <v>0</v>
      </c>
      <c r="E368" s="300"/>
      <c r="F368" s="299">
        <f t="shared" ca="1" si="71"/>
        <v>0</v>
      </c>
      <c r="G368" s="300"/>
      <c r="H368" s="299">
        <f t="shared" ca="1" si="72"/>
        <v>0</v>
      </c>
      <c r="I368" s="300"/>
      <c r="J368" s="299">
        <f t="shared" ca="1" si="73"/>
        <v>0</v>
      </c>
      <c r="K368" s="300"/>
    </row>
    <row r="369" spans="1:11" x14ac:dyDescent="0.2">
      <c r="A369" s="82"/>
      <c r="B369" s="299">
        <f t="shared" ca="1" si="69"/>
        <v>0</v>
      </c>
      <c r="C369" s="300"/>
      <c r="D369" s="299">
        <f t="shared" ca="1" si="70"/>
        <v>0</v>
      </c>
      <c r="E369" s="300"/>
      <c r="F369" s="299">
        <f t="shared" ca="1" si="71"/>
        <v>0</v>
      </c>
      <c r="G369" s="300"/>
      <c r="H369" s="299">
        <f t="shared" ca="1" si="72"/>
        <v>0</v>
      </c>
      <c r="I369" s="300"/>
      <c r="J369" s="299">
        <f t="shared" ca="1" si="73"/>
        <v>0</v>
      </c>
      <c r="K369" s="300"/>
    </row>
    <row r="370" spans="1:11" x14ac:dyDescent="0.2">
      <c r="A370" s="82"/>
      <c r="B370" s="299">
        <f t="shared" ca="1" si="69"/>
        <v>0</v>
      </c>
      <c r="C370" s="300"/>
      <c r="D370" s="299">
        <f t="shared" ca="1" si="70"/>
        <v>0</v>
      </c>
      <c r="E370" s="300"/>
      <c r="F370" s="299">
        <f t="shared" ca="1" si="71"/>
        <v>0</v>
      </c>
      <c r="G370" s="300"/>
      <c r="H370" s="299">
        <f t="shared" ca="1" si="72"/>
        <v>0</v>
      </c>
      <c r="I370" s="300"/>
      <c r="J370" s="299">
        <f t="shared" ca="1" si="73"/>
        <v>0</v>
      </c>
      <c r="K370" s="300"/>
    </row>
    <row r="371" spans="1:11" x14ac:dyDescent="0.2">
      <c r="A371" s="82"/>
      <c r="B371" s="299">
        <f t="shared" ca="1" si="69"/>
        <v>0</v>
      </c>
      <c r="C371" s="300"/>
      <c r="D371" s="299">
        <f t="shared" ca="1" si="70"/>
        <v>0</v>
      </c>
      <c r="E371" s="300"/>
      <c r="F371" s="299">
        <f t="shared" ca="1" si="71"/>
        <v>0</v>
      </c>
      <c r="G371" s="300"/>
      <c r="H371" s="299">
        <f t="shared" ca="1" si="72"/>
        <v>0</v>
      </c>
      <c r="I371" s="300"/>
      <c r="J371" s="299">
        <f t="shared" ca="1" si="73"/>
        <v>0</v>
      </c>
      <c r="K371" s="300"/>
    </row>
    <row r="372" spans="1:11" x14ac:dyDescent="0.2">
      <c r="A372" s="82"/>
      <c r="B372" s="299">
        <f t="shared" ca="1" si="69"/>
        <v>0</v>
      </c>
      <c r="C372" s="300"/>
      <c r="D372" s="299">
        <f t="shared" ca="1" si="70"/>
        <v>0</v>
      </c>
      <c r="E372" s="300"/>
      <c r="F372" s="299">
        <f t="shared" ca="1" si="71"/>
        <v>0</v>
      </c>
      <c r="G372" s="300"/>
      <c r="H372" s="299">
        <f t="shared" ca="1" si="72"/>
        <v>0</v>
      </c>
      <c r="I372" s="300"/>
      <c r="J372" s="299">
        <f t="shared" ca="1" si="73"/>
        <v>0</v>
      </c>
      <c r="K372" s="300"/>
    </row>
    <row r="373" spans="1:11" x14ac:dyDescent="0.2">
      <c r="A373" s="82"/>
      <c r="B373" s="299">
        <f t="shared" ca="1" si="69"/>
        <v>0</v>
      </c>
      <c r="C373" s="300"/>
      <c r="D373" s="299">
        <f t="shared" ca="1" si="70"/>
        <v>0</v>
      </c>
      <c r="E373" s="300"/>
      <c r="F373" s="299">
        <f t="shared" ca="1" si="71"/>
        <v>0</v>
      </c>
      <c r="G373" s="300"/>
      <c r="H373" s="299">
        <f t="shared" ca="1" si="72"/>
        <v>0</v>
      </c>
      <c r="I373" s="300"/>
      <c r="J373" s="299">
        <f t="shared" ca="1" si="73"/>
        <v>0</v>
      </c>
      <c r="K373" s="300"/>
    </row>
    <row r="374" spans="1:11" x14ac:dyDescent="0.2">
      <c r="A374" s="82"/>
      <c r="B374" s="299">
        <f t="shared" ca="1" si="69"/>
        <v>0</v>
      </c>
      <c r="C374" s="300"/>
      <c r="D374" s="299">
        <f t="shared" ca="1" si="70"/>
        <v>0</v>
      </c>
      <c r="E374" s="300"/>
      <c r="F374" s="299">
        <f t="shared" ca="1" si="71"/>
        <v>0</v>
      </c>
      <c r="G374" s="300"/>
      <c r="H374" s="299">
        <f t="shared" ca="1" si="72"/>
        <v>0</v>
      </c>
      <c r="I374" s="300"/>
      <c r="J374" s="299">
        <f t="shared" ca="1" si="73"/>
        <v>0</v>
      </c>
      <c r="K374" s="300"/>
    </row>
    <row r="375" spans="1:11" x14ac:dyDescent="0.2">
      <c r="A375" s="82"/>
      <c r="B375" s="299">
        <f t="shared" ca="1" si="69"/>
        <v>0</v>
      </c>
      <c r="C375" s="300"/>
      <c r="D375" s="299">
        <f t="shared" ca="1" si="70"/>
        <v>0</v>
      </c>
      <c r="E375" s="300"/>
      <c r="F375" s="299">
        <f t="shared" ca="1" si="71"/>
        <v>0</v>
      </c>
      <c r="G375" s="300"/>
      <c r="H375" s="299">
        <f t="shared" ca="1" si="72"/>
        <v>0</v>
      </c>
      <c r="I375" s="300"/>
      <c r="J375" s="299">
        <f t="shared" ca="1" si="73"/>
        <v>0</v>
      </c>
      <c r="K375" s="300"/>
    </row>
    <row r="376" spans="1:11" x14ac:dyDescent="0.2">
      <c r="A376" s="82"/>
      <c r="B376" s="299">
        <f t="shared" ca="1" si="69"/>
        <v>0</v>
      </c>
      <c r="C376" s="300"/>
      <c r="D376" s="299">
        <f t="shared" ca="1" si="70"/>
        <v>0</v>
      </c>
      <c r="E376" s="300"/>
      <c r="F376" s="299">
        <f t="shared" ca="1" si="71"/>
        <v>0</v>
      </c>
      <c r="G376" s="300"/>
      <c r="H376" s="299">
        <f t="shared" ca="1" si="72"/>
        <v>0</v>
      </c>
      <c r="I376" s="300"/>
      <c r="J376" s="299">
        <f t="shared" ca="1" si="73"/>
        <v>0</v>
      </c>
      <c r="K376" s="300"/>
    </row>
    <row r="377" spans="1:11" x14ac:dyDescent="0.2">
      <c r="A377" s="82"/>
      <c r="B377" s="299">
        <f t="shared" ca="1" si="69"/>
        <v>0</v>
      </c>
      <c r="C377" s="300"/>
      <c r="D377" s="299">
        <f t="shared" ca="1" si="70"/>
        <v>0</v>
      </c>
      <c r="E377" s="300"/>
      <c r="F377" s="299">
        <f t="shared" ca="1" si="71"/>
        <v>0</v>
      </c>
      <c r="G377" s="300"/>
      <c r="H377" s="299">
        <f t="shared" ca="1" si="72"/>
        <v>0</v>
      </c>
      <c r="I377" s="300"/>
      <c r="J377" s="299">
        <f t="shared" ca="1" si="73"/>
        <v>0</v>
      </c>
      <c r="K377" s="300"/>
    </row>
    <row r="379" spans="1:11" x14ac:dyDescent="0.2">
      <c r="A379" s="80" t="s">
        <v>182</v>
      </c>
      <c r="B379" s="301" t="s">
        <v>134</v>
      </c>
      <c r="C379" s="301"/>
      <c r="D379" s="301" t="s">
        <v>135</v>
      </c>
      <c r="E379" s="301"/>
      <c r="F379" s="301" t="s">
        <v>136</v>
      </c>
      <c r="G379" s="301"/>
      <c r="H379" s="301" t="s">
        <v>139</v>
      </c>
      <c r="I379" s="301"/>
      <c r="J379" s="301" t="s">
        <v>137</v>
      </c>
      <c r="K379" s="301"/>
    </row>
    <row r="380" spans="1:11" x14ac:dyDescent="0.2">
      <c r="A380" s="82"/>
      <c r="B380" s="299">
        <f ca="1">IF(B328="","",B328/12*11)</f>
        <v>0</v>
      </c>
      <c r="C380" s="300"/>
      <c r="D380" s="299">
        <f ca="1">IF(D328="","",D328/12*11)</f>
        <v>0</v>
      </c>
      <c r="E380" s="300"/>
      <c r="F380" s="299">
        <f ca="1">IF(F328="","",F328/12*11)</f>
        <v>0</v>
      </c>
      <c r="G380" s="300"/>
      <c r="H380" s="299">
        <f ca="1">IF(H328="","",H328/12*11)</f>
        <v>0</v>
      </c>
      <c r="I380" s="300"/>
      <c r="J380" s="299">
        <f ca="1">IF(J328="","",J328/12*11)</f>
        <v>0</v>
      </c>
      <c r="K380" s="300"/>
    </row>
    <row r="381" spans="1:11" x14ac:dyDescent="0.2">
      <c r="A381" s="82"/>
      <c r="B381" s="299">
        <f t="shared" ref="B381:B403" ca="1" si="74">IF(B329="","",B329/12*11)</f>
        <v>0</v>
      </c>
      <c r="C381" s="300"/>
      <c r="D381" s="299">
        <f t="shared" ref="D381:D403" ca="1" si="75">IF(D329="","",D329/12*11)</f>
        <v>0</v>
      </c>
      <c r="E381" s="300"/>
      <c r="F381" s="299">
        <f t="shared" ref="F381:F403" ca="1" si="76">IF(F329="","",F329/12*11)</f>
        <v>0</v>
      </c>
      <c r="G381" s="300"/>
      <c r="H381" s="299">
        <f t="shared" ref="H381:H403" ca="1" si="77">IF(H329="","",H329/12*11)</f>
        <v>0</v>
      </c>
      <c r="I381" s="300"/>
      <c r="J381" s="299">
        <f t="shared" ref="J381:J403" ca="1" si="78">IF(J329="","",J329/12*11)</f>
        <v>0</v>
      </c>
      <c r="K381" s="300"/>
    </row>
    <row r="382" spans="1:11" x14ac:dyDescent="0.2">
      <c r="A382" s="82"/>
      <c r="B382" s="299">
        <f t="shared" ca="1" si="74"/>
        <v>0</v>
      </c>
      <c r="C382" s="300"/>
      <c r="D382" s="299">
        <f t="shared" ca="1" si="75"/>
        <v>0</v>
      </c>
      <c r="E382" s="300"/>
      <c r="F382" s="299">
        <f t="shared" ca="1" si="76"/>
        <v>0</v>
      </c>
      <c r="G382" s="300"/>
      <c r="H382" s="299">
        <f t="shared" ca="1" si="77"/>
        <v>0</v>
      </c>
      <c r="I382" s="300"/>
      <c r="J382" s="299">
        <f t="shared" ca="1" si="78"/>
        <v>0</v>
      </c>
      <c r="K382" s="300"/>
    </row>
    <row r="383" spans="1:11" x14ac:dyDescent="0.2">
      <c r="A383" s="82"/>
      <c r="B383" s="299">
        <f t="shared" ca="1" si="74"/>
        <v>0</v>
      </c>
      <c r="C383" s="300"/>
      <c r="D383" s="299">
        <f t="shared" ca="1" si="75"/>
        <v>0</v>
      </c>
      <c r="E383" s="300"/>
      <c r="F383" s="299">
        <f t="shared" ca="1" si="76"/>
        <v>0</v>
      </c>
      <c r="G383" s="300"/>
      <c r="H383" s="299">
        <f t="shared" ca="1" si="77"/>
        <v>0</v>
      </c>
      <c r="I383" s="300"/>
      <c r="J383" s="299">
        <f t="shared" ca="1" si="78"/>
        <v>0</v>
      </c>
      <c r="K383" s="300"/>
    </row>
    <row r="384" spans="1:11" x14ac:dyDescent="0.2">
      <c r="A384" s="82"/>
      <c r="B384" s="299">
        <f t="shared" ca="1" si="74"/>
        <v>0</v>
      </c>
      <c r="C384" s="300"/>
      <c r="D384" s="299">
        <f t="shared" ca="1" si="75"/>
        <v>0</v>
      </c>
      <c r="E384" s="300"/>
      <c r="F384" s="299">
        <f t="shared" ca="1" si="76"/>
        <v>0</v>
      </c>
      <c r="G384" s="300"/>
      <c r="H384" s="299">
        <f t="shared" ca="1" si="77"/>
        <v>0</v>
      </c>
      <c r="I384" s="300"/>
      <c r="J384" s="299">
        <f t="shared" ca="1" si="78"/>
        <v>0</v>
      </c>
      <c r="K384" s="300"/>
    </row>
    <row r="385" spans="1:11" x14ac:dyDescent="0.2">
      <c r="A385" s="82"/>
      <c r="B385" s="299">
        <f t="shared" ca="1" si="74"/>
        <v>0</v>
      </c>
      <c r="C385" s="300"/>
      <c r="D385" s="299">
        <f t="shared" ca="1" si="75"/>
        <v>0</v>
      </c>
      <c r="E385" s="300"/>
      <c r="F385" s="299">
        <f t="shared" ca="1" si="76"/>
        <v>0</v>
      </c>
      <c r="G385" s="300"/>
      <c r="H385" s="299">
        <f t="shared" ca="1" si="77"/>
        <v>0</v>
      </c>
      <c r="I385" s="300"/>
      <c r="J385" s="299">
        <f t="shared" ca="1" si="78"/>
        <v>0</v>
      </c>
      <c r="K385" s="300"/>
    </row>
    <row r="386" spans="1:11" x14ac:dyDescent="0.2">
      <c r="A386" s="82"/>
      <c r="B386" s="299">
        <f t="shared" ca="1" si="74"/>
        <v>0</v>
      </c>
      <c r="C386" s="300"/>
      <c r="D386" s="299">
        <f t="shared" ca="1" si="75"/>
        <v>0</v>
      </c>
      <c r="E386" s="300"/>
      <c r="F386" s="299">
        <f t="shared" ca="1" si="76"/>
        <v>0</v>
      </c>
      <c r="G386" s="300"/>
      <c r="H386" s="299">
        <f t="shared" ca="1" si="77"/>
        <v>0</v>
      </c>
      <c r="I386" s="300"/>
      <c r="J386" s="299">
        <f t="shared" ca="1" si="78"/>
        <v>0</v>
      </c>
      <c r="K386" s="300"/>
    </row>
    <row r="387" spans="1:11" x14ac:dyDescent="0.2">
      <c r="A387" s="82"/>
      <c r="B387" s="299">
        <f t="shared" ca="1" si="74"/>
        <v>0</v>
      </c>
      <c r="C387" s="300"/>
      <c r="D387" s="299">
        <f t="shared" ca="1" si="75"/>
        <v>0</v>
      </c>
      <c r="E387" s="300"/>
      <c r="F387" s="299">
        <f t="shared" ca="1" si="76"/>
        <v>0</v>
      </c>
      <c r="G387" s="300"/>
      <c r="H387" s="299">
        <f t="shared" ca="1" si="77"/>
        <v>0</v>
      </c>
      <c r="I387" s="300"/>
      <c r="J387" s="299">
        <f t="shared" ca="1" si="78"/>
        <v>0</v>
      </c>
      <c r="K387" s="300"/>
    </row>
    <row r="388" spans="1:11" x14ac:dyDescent="0.2">
      <c r="A388" s="82"/>
      <c r="B388" s="299">
        <f t="shared" ca="1" si="74"/>
        <v>0</v>
      </c>
      <c r="C388" s="300"/>
      <c r="D388" s="299">
        <f t="shared" ca="1" si="75"/>
        <v>0</v>
      </c>
      <c r="E388" s="300"/>
      <c r="F388" s="299">
        <f t="shared" ca="1" si="76"/>
        <v>0</v>
      </c>
      <c r="G388" s="300"/>
      <c r="H388" s="299">
        <f t="shared" ca="1" si="77"/>
        <v>0</v>
      </c>
      <c r="I388" s="300"/>
      <c r="J388" s="299">
        <f t="shared" ca="1" si="78"/>
        <v>0</v>
      </c>
      <c r="K388" s="300"/>
    </row>
    <row r="389" spans="1:11" x14ac:dyDescent="0.2">
      <c r="A389" s="82"/>
      <c r="B389" s="299">
        <f t="shared" ca="1" si="74"/>
        <v>0</v>
      </c>
      <c r="C389" s="300"/>
      <c r="D389" s="299">
        <f t="shared" ca="1" si="75"/>
        <v>0</v>
      </c>
      <c r="E389" s="300"/>
      <c r="F389" s="299">
        <f t="shared" ca="1" si="76"/>
        <v>0</v>
      </c>
      <c r="G389" s="300"/>
      <c r="H389" s="299">
        <f t="shared" ca="1" si="77"/>
        <v>0</v>
      </c>
      <c r="I389" s="300"/>
      <c r="J389" s="299">
        <f t="shared" ca="1" si="78"/>
        <v>0</v>
      </c>
      <c r="K389" s="300"/>
    </row>
    <row r="390" spans="1:11" x14ac:dyDescent="0.2">
      <c r="A390" s="82"/>
      <c r="B390" s="299">
        <f t="shared" ca="1" si="74"/>
        <v>0</v>
      </c>
      <c r="C390" s="300"/>
      <c r="D390" s="299">
        <f t="shared" ca="1" si="75"/>
        <v>0</v>
      </c>
      <c r="E390" s="300"/>
      <c r="F390" s="299">
        <f t="shared" ca="1" si="76"/>
        <v>0</v>
      </c>
      <c r="G390" s="300"/>
      <c r="H390" s="299">
        <f t="shared" ca="1" si="77"/>
        <v>0</v>
      </c>
      <c r="I390" s="300"/>
      <c r="J390" s="299">
        <f t="shared" ca="1" si="78"/>
        <v>0</v>
      </c>
      <c r="K390" s="300"/>
    </row>
    <row r="391" spans="1:11" x14ac:dyDescent="0.2">
      <c r="A391" s="82"/>
      <c r="B391" s="299">
        <f t="shared" ca="1" si="74"/>
        <v>0</v>
      </c>
      <c r="C391" s="300"/>
      <c r="D391" s="299">
        <f t="shared" ca="1" si="75"/>
        <v>0</v>
      </c>
      <c r="E391" s="300"/>
      <c r="F391" s="299">
        <f t="shared" ca="1" si="76"/>
        <v>0</v>
      </c>
      <c r="G391" s="300"/>
      <c r="H391" s="299">
        <f t="shared" ca="1" si="77"/>
        <v>0</v>
      </c>
      <c r="I391" s="300"/>
      <c r="J391" s="299">
        <f t="shared" ca="1" si="78"/>
        <v>0</v>
      </c>
      <c r="K391" s="300"/>
    </row>
    <row r="392" spans="1:11" x14ac:dyDescent="0.2">
      <c r="A392" s="82"/>
      <c r="B392" s="299">
        <f t="shared" ca="1" si="74"/>
        <v>0</v>
      </c>
      <c r="C392" s="300"/>
      <c r="D392" s="299">
        <f t="shared" ca="1" si="75"/>
        <v>0</v>
      </c>
      <c r="E392" s="300"/>
      <c r="F392" s="299">
        <f t="shared" ca="1" si="76"/>
        <v>0</v>
      </c>
      <c r="G392" s="300"/>
      <c r="H392" s="299">
        <f t="shared" ca="1" si="77"/>
        <v>0</v>
      </c>
      <c r="I392" s="300"/>
      <c r="J392" s="299">
        <f t="shared" ca="1" si="78"/>
        <v>0</v>
      </c>
      <c r="K392" s="300"/>
    </row>
    <row r="393" spans="1:11" x14ac:dyDescent="0.2">
      <c r="A393" s="82"/>
      <c r="B393" s="299">
        <f t="shared" ca="1" si="74"/>
        <v>0</v>
      </c>
      <c r="C393" s="300"/>
      <c r="D393" s="299">
        <f t="shared" ca="1" si="75"/>
        <v>0</v>
      </c>
      <c r="E393" s="300"/>
      <c r="F393" s="299">
        <f t="shared" ca="1" si="76"/>
        <v>0</v>
      </c>
      <c r="G393" s="300"/>
      <c r="H393" s="299">
        <f t="shared" ca="1" si="77"/>
        <v>0</v>
      </c>
      <c r="I393" s="300"/>
      <c r="J393" s="299">
        <f t="shared" ca="1" si="78"/>
        <v>0</v>
      </c>
      <c r="K393" s="300"/>
    </row>
    <row r="394" spans="1:11" x14ac:dyDescent="0.2">
      <c r="A394" s="82"/>
      <c r="B394" s="299">
        <f t="shared" ca="1" si="74"/>
        <v>0</v>
      </c>
      <c r="C394" s="300"/>
      <c r="D394" s="299">
        <f t="shared" ca="1" si="75"/>
        <v>0</v>
      </c>
      <c r="E394" s="300"/>
      <c r="F394" s="299">
        <f t="shared" ca="1" si="76"/>
        <v>0</v>
      </c>
      <c r="G394" s="300"/>
      <c r="H394" s="299">
        <f t="shared" ca="1" si="77"/>
        <v>0</v>
      </c>
      <c r="I394" s="300"/>
      <c r="J394" s="299">
        <f t="shared" ca="1" si="78"/>
        <v>0</v>
      </c>
      <c r="K394" s="300"/>
    </row>
    <row r="395" spans="1:11" x14ac:dyDescent="0.2">
      <c r="A395" s="82"/>
      <c r="B395" s="299">
        <f t="shared" ca="1" si="74"/>
        <v>0</v>
      </c>
      <c r="C395" s="300"/>
      <c r="D395" s="299">
        <f t="shared" ca="1" si="75"/>
        <v>0</v>
      </c>
      <c r="E395" s="300"/>
      <c r="F395" s="299">
        <f t="shared" ca="1" si="76"/>
        <v>0</v>
      </c>
      <c r="G395" s="300"/>
      <c r="H395" s="299">
        <f t="shared" ca="1" si="77"/>
        <v>0</v>
      </c>
      <c r="I395" s="300"/>
      <c r="J395" s="299">
        <f t="shared" ca="1" si="78"/>
        <v>0</v>
      </c>
      <c r="K395" s="300"/>
    </row>
    <row r="396" spans="1:11" x14ac:dyDescent="0.2">
      <c r="A396" s="82"/>
      <c r="B396" s="299">
        <f t="shared" ca="1" si="74"/>
        <v>0</v>
      </c>
      <c r="C396" s="300"/>
      <c r="D396" s="299">
        <f t="shared" ca="1" si="75"/>
        <v>0</v>
      </c>
      <c r="E396" s="300"/>
      <c r="F396" s="299">
        <f t="shared" ca="1" si="76"/>
        <v>0</v>
      </c>
      <c r="G396" s="300"/>
      <c r="H396" s="299">
        <f t="shared" ca="1" si="77"/>
        <v>0</v>
      </c>
      <c r="I396" s="300"/>
      <c r="J396" s="299">
        <f t="shared" ca="1" si="78"/>
        <v>0</v>
      </c>
      <c r="K396" s="300"/>
    </row>
    <row r="397" spans="1:11" x14ac:dyDescent="0.2">
      <c r="A397" s="82"/>
      <c r="B397" s="299">
        <f t="shared" ca="1" si="74"/>
        <v>0</v>
      </c>
      <c r="C397" s="300"/>
      <c r="D397" s="299">
        <f t="shared" ca="1" si="75"/>
        <v>0</v>
      </c>
      <c r="E397" s="300"/>
      <c r="F397" s="299">
        <f t="shared" ca="1" si="76"/>
        <v>0</v>
      </c>
      <c r="G397" s="300"/>
      <c r="H397" s="299">
        <f t="shared" ca="1" si="77"/>
        <v>0</v>
      </c>
      <c r="I397" s="300"/>
      <c r="J397" s="299">
        <f t="shared" ca="1" si="78"/>
        <v>0</v>
      </c>
      <c r="K397" s="300"/>
    </row>
    <row r="398" spans="1:11" x14ac:dyDescent="0.2">
      <c r="A398" s="82"/>
      <c r="B398" s="299">
        <f t="shared" ca="1" si="74"/>
        <v>0</v>
      </c>
      <c r="C398" s="300"/>
      <c r="D398" s="299">
        <f t="shared" ca="1" si="75"/>
        <v>0</v>
      </c>
      <c r="E398" s="300"/>
      <c r="F398" s="299">
        <f t="shared" ca="1" si="76"/>
        <v>0</v>
      </c>
      <c r="G398" s="300"/>
      <c r="H398" s="299">
        <f t="shared" ca="1" si="77"/>
        <v>0</v>
      </c>
      <c r="I398" s="300"/>
      <c r="J398" s="299">
        <f t="shared" ca="1" si="78"/>
        <v>0</v>
      </c>
      <c r="K398" s="300"/>
    </row>
    <row r="399" spans="1:11" x14ac:dyDescent="0.2">
      <c r="A399" s="82"/>
      <c r="B399" s="299">
        <f t="shared" ca="1" si="74"/>
        <v>0</v>
      </c>
      <c r="C399" s="300"/>
      <c r="D399" s="299">
        <f t="shared" ca="1" si="75"/>
        <v>0</v>
      </c>
      <c r="E399" s="300"/>
      <c r="F399" s="299">
        <f t="shared" ca="1" si="76"/>
        <v>0</v>
      </c>
      <c r="G399" s="300"/>
      <c r="H399" s="299">
        <f t="shared" ca="1" si="77"/>
        <v>0</v>
      </c>
      <c r="I399" s="300"/>
      <c r="J399" s="299">
        <f t="shared" ca="1" si="78"/>
        <v>0</v>
      </c>
      <c r="K399" s="300"/>
    </row>
    <row r="400" spans="1:11" x14ac:dyDescent="0.2">
      <c r="A400" s="82"/>
      <c r="B400" s="299">
        <f t="shared" ca="1" si="74"/>
        <v>0</v>
      </c>
      <c r="C400" s="300"/>
      <c r="D400" s="299">
        <f t="shared" ca="1" si="75"/>
        <v>0</v>
      </c>
      <c r="E400" s="300"/>
      <c r="F400" s="299">
        <f t="shared" ca="1" si="76"/>
        <v>0</v>
      </c>
      <c r="G400" s="300"/>
      <c r="H400" s="299">
        <f t="shared" ca="1" si="77"/>
        <v>0</v>
      </c>
      <c r="I400" s="300"/>
      <c r="J400" s="299">
        <f t="shared" ca="1" si="78"/>
        <v>0</v>
      </c>
      <c r="K400" s="300"/>
    </row>
    <row r="401" spans="1:11" x14ac:dyDescent="0.2">
      <c r="A401" s="82"/>
      <c r="B401" s="299">
        <f t="shared" ca="1" si="74"/>
        <v>0</v>
      </c>
      <c r="C401" s="300"/>
      <c r="D401" s="299">
        <f t="shared" ca="1" si="75"/>
        <v>0</v>
      </c>
      <c r="E401" s="300"/>
      <c r="F401" s="299">
        <f t="shared" ca="1" si="76"/>
        <v>0</v>
      </c>
      <c r="G401" s="300"/>
      <c r="H401" s="299">
        <f t="shared" ca="1" si="77"/>
        <v>0</v>
      </c>
      <c r="I401" s="300"/>
      <c r="J401" s="299">
        <f t="shared" ca="1" si="78"/>
        <v>0</v>
      </c>
      <c r="K401" s="300"/>
    </row>
    <row r="402" spans="1:11" x14ac:dyDescent="0.2">
      <c r="A402" s="82"/>
      <c r="B402" s="299">
        <f t="shared" ca="1" si="74"/>
        <v>0</v>
      </c>
      <c r="C402" s="300"/>
      <c r="D402" s="299">
        <f t="shared" ca="1" si="75"/>
        <v>0</v>
      </c>
      <c r="E402" s="300"/>
      <c r="F402" s="299">
        <f t="shared" ca="1" si="76"/>
        <v>0</v>
      </c>
      <c r="G402" s="300"/>
      <c r="H402" s="299">
        <f t="shared" ca="1" si="77"/>
        <v>0</v>
      </c>
      <c r="I402" s="300"/>
      <c r="J402" s="299">
        <f t="shared" ca="1" si="78"/>
        <v>0</v>
      </c>
      <c r="K402" s="300"/>
    </row>
    <row r="403" spans="1:11" x14ac:dyDescent="0.2">
      <c r="A403" s="82"/>
      <c r="B403" s="299">
        <f t="shared" ca="1" si="74"/>
        <v>0</v>
      </c>
      <c r="C403" s="300"/>
      <c r="D403" s="299">
        <f t="shared" ca="1" si="75"/>
        <v>0</v>
      </c>
      <c r="E403" s="300"/>
      <c r="F403" s="299">
        <f t="shared" ca="1" si="76"/>
        <v>0</v>
      </c>
      <c r="G403" s="300"/>
      <c r="H403" s="299">
        <f t="shared" ca="1" si="77"/>
        <v>0</v>
      </c>
      <c r="I403" s="300"/>
      <c r="J403" s="299">
        <f t="shared" ca="1" si="78"/>
        <v>0</v>
      </c>
      <c r="K403" s="300"/>
    </row>
  </sheetData>
  <mergeCells count="678"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3:C323"/>
    <mergeCell ref="D323:E323"/>
    <mergeCell ref="F323:G323"/>
    <mergeCell ref="H323:I323"/>
    <mergeCell ref="J323:K323"/>
    <mergeCell ref="B324:C324"/>
    <mergeCell ref="D324:E324"/>
    <mergeCell ref="F324:G324"/>
    <mergeCell ref="H324:I324"/>
    <mergeCell ref="J324:K324"/>
    <mergeCell ref="B321:C321"/>
    <mergeCell ref="D321:E321"/>
    <mergeCell ref="F321:G321"/>
    <mergeCell ref="H321:I321"/>
    <mergeCell ref="J321:K321"/>
    <mergeCell ref="B322:C322"/>
    <mergeCell ref="D322:E322"/>
    <mergeCell ref="F322:G322"/>
    <mergeCell ref="H322:I322"/>
    <mergeCell ref="J322:K322"/>
    <mergeCell ref="B319:C319"/>
    <mergeCell ref="D319:E319"/>
    <mergeCell ref="F319:G319"/>
    <mergeCell ref="H319:I319"/>
    <mergeCell ref="J319:K319"/>
    <mergeCell ref="B320:C320"/>
    <mergeCell ref="D320:E320"/>
    <mergeCell ref="F320:G320"/>
    <mergeCell ref="H320:I320"/>
    <mergeCell ref="J320:K320"/>
    <mergeCell ref="B317:C317"/>
    <mergeCell ref="D317:E317"/>
    <mergeCell ref="F317:G317"/>
    <mergeCell ref="H317:I317"/>
    <mergeCell ref="J317:K317"/>
    <mergeCell ref="B318:C318"/>
    <mergeCell ref="D318:E318"/>
    <mergeCell ref="F318:G318"/>
    <mergeCell ref="H318:I318"/>
    <mergeCell ref="J318:K318"/>
    <mergeCell ref="B315:C315"/>
    <mergeCell ref="D315:E315"/>
    <mergeCell ref="F315:G315"/>
    <mergeCell ref="H315:I315"/>
    <mergeCell ref="J315:K315"/>
    <mergeCell ref="B316:C316"/>
    <mergeCell ref="D316:E316"/>
    <mergeCell ref="F316:G316"/>
    <mergeCell ref="H316:I316"/>
    <mergeCell ref="J316:K316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C311"/>
    <mergeCell ref="D311:E311"/>
    <mergeCell ref="F311:G311"/>
    <mergeCell ref="H311:I311"/>
    <mergeCell ref="J311:K311"/>
    <mergeCell ref="B312:C312"/>
    <mergeCell ref="D312:E312"/>
    <mergeCell ref="F312:G312"/>
    <mergeCell ref="H312:I312"/>
    <mergeCell ref="J312:K312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J310:K310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B305:C305"/>
    <mergeCell ref="D305:E305"/>
    <mergeCell ref="F305:G305"/>
    <mergeCell ref="H305:I305"/>
    <mergeCell ref="J305:K305"/>
    <mergeCell ref="B306:C306"/>
    <mergeCell ref="D306:E306"/>
    <mergeCell ref="F306:G306"/>
    <mergeCell ref="H306:I306"/>
    <mergeCell ref="J306:K306"/>
    <mergeCell ref="B303:C303"/>
    <mergeCell ref="D303:E303"/>
    <mergeCell ref="F303:G303"/>
    <mergeCell ref="H303:I303"/>
    <mergeCell ref="J303:K303"/>
    <mergeCell ref="B304:C304"/>
    <mergeCell ref="D304:E304"/>
    <mergeCell ref="F304:G304"/>
    <mergeCell ref="H304:I304"/>
    <mergeCell ref="J304:K304"/>
    <mergeCell ref="B301:C301"/>
    <mergeCell ref="D301:E301"/>
    <mergeCell ref="F301:G301"/>
    <mergeCell ref="H301:I301"/>
    <mergeCell ref="J301:K301"/>
    <mergeCell ref="B302:C302"/>
    <mergeCell ref="D302:E302"/>
    <mergeCell ref="F302:G302"/>
    <mergeCell ref="H302:I302"/>
    <mergeCell ref="J302:K302"/>
    <mergeCell ref="B298:C298"/>
    <mergeCell ref="D298:E298"/>
    <mergeCell ref="F298:G298"/>
    <mergeCell ref="H298:I298"/>
    <mergeCell ref="J298:K298"/>
    <mergeCell ref="B300:C300"/>
    <mergeCell ref="D300:E300"/>
    <mergeCell ref="F300:G300"/>
    <mergeCell ref="H300:I300"/>
    <mergeCell ref="J300:K300"/>
    <mergeCell ref="B296:C296"/>
    <mergeCell ref="D296:E296"/>
    <mergeCell ref="F296:G296"/>
    <mergeCell ref="H296:I296"/>
    <mergeCell ref="J296:K296"/>
    <mergeCell ref="B297:C297"/>
    <mergeCell ref="D297:E297"/>
    <mergeCell ref="F297:G297"/>
    <mergeCell ref="H297:I297"/>
    <mergeCell ref="J297:K297"/>
    <mergeCell ref="B294:C294"/>
    <mergeCell ref="D294:E294"/>
    <mergeCell ref="F294:G294"/>
    <mergeCell ref="H294:I294"/>
    <mergeCell ref="J294:K294"/>
    <mergeCell ref="B295:C295"/>
    <mergeCell ref="D295:E295"/>
    <mergeCell ref="F295:G295"/>
    <mergeCell ref="H295:I295"/>
    <mergeCell ref="J295:K295"/>
    <mergeCell ref="B292:C292"/>
    <mergeCell ref="D292:E292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0:C290"/>
    <mergeCell ref="D290:E290"/>
    <mergeCell ref="F290:G290"/>
    <mergeCell ref="H290:I290"/>
    <mergeCell ref="J290:K290"/>
    <mergeCell ref="B291:C291"/>
    <mergeCell ref="D291:E291"/>
    <mergeCell ref="F291:G291"/>
    <mergeCell ref="H291:I291"/>
    <mergeCell ref="J291:K291"/>
    <mergeCell ref="B288:C288"/>
    <mergeCell ref="D288:E288"/>
    <mergeCell ref="F288:G288"/>
    <mergeCell ref="H288:I288"/>
    <mergeCell ref="J288:K288"/>
    <mergeCell ref="B289:C289"/>
    <mergeCell ref="D289:E289"/>
    <mergeCell ref="F289:G289"/>
    <mergeCell ref="H289:I289"/>
    <mergeCell ref="J289:K289"/>
    <mergeCell ref="B286:C286"/>
    <mergeCell ref="D286:E286"/>
    <mergeCell ref="F286:G286"/>
    <mergeCell ref="H286:I286"/>
    <mergeCell ref="J286:K286"/>
    <mergeCell ref="B287:C287"/>
    <mergeCell ref="D287:E287"/>
    <mergeCell ref="F287:G287"/>
    <mergeCell ref="H287:I287"/>
    <mergeCell ref="J287:K287"/>
    <mergeCell ref="B284:C284"/>
    <mergeCell ref="D284:E284"/>
    <mergeCell ref="F284:G284"/>
    <mergeCell ref="H284:I284"/>
    <mergeCell ref="J284:K284"/>
    <mergeCell ref="B285:C285"/>
    <mergeCell ref="D285:E285"/>
    <mergeCell ref="F285:G285"/>
    <mergeCell ref="H285:I285"/>
    <mergeCell ref="J285:K285"/>
    <mergeCell ref="B282:C282"/>
    <mergeCell ref="D282:E282"/>
    <mergeCell ref="F282:G282"/>
    <mergeCell ref="H282:I282"/>
    <mergeCell ref="J282:K282"/>
    <mergeCell ref="B283:C283"/>
    <mergeCell ref="D283:E283"/>
    <mergeCell ref="F283:G283"/>
    <mergeCell ref="H283:I283"/>
    <mergeCell ref="J283:K283"/>
    <mergeCell ref="B280:C280"/>
    <mergeCell ref="D280:E280"/>
    <mergeCell ref="F280:G280"/>
    <mergeCell ref="H280:I280"/>
    <mergeCell ref="J280:K280"/>
    <mergeCell ref="B281:C281"/>
    <mergeCell ref="D281:E281"/>
    <mergeCell ref="F281:G281"/>
    <mergeCell ref="H281:I281"/>
    <mergeCell ref="J281:K281"/>
    <mergeCell ref="B278:C278"/>
    <mergeCell ref="D278:E278"/>
    <mergeCell ref="F278:G278"/>
    <mergeCell ref="H278:I278"/>
    <mergeCell ref="J278:K278"/>
    <mergeCell ref="B279:C279"/>
    <mergeCell ref="D279:E279"/>
    <mergeCell ref="F279:G279"/>
    <mergeCell ref="H279:I279"/>
    <mergeCell ref="J279:K279"/>
    <mergeCell ref="B276:C276"/>
    <mergeCell ref="D276:E276"/>
    <mergeCell ref="F276:G276"/>
    <mergeCell ref="H276:I276"/>
    <mergeCell ref="J276:K276"/>
    <mergeCell ref="B277:C277"/>
    <mergeCell ref="D277:E277"/>
    <mergeCell ref="F277:G277"/>
    <mergeCell ref="H277:I277"/>
    <mergeCell ref="J277:K277"/>
    <mergeCell ref="B274:C274"/>
    <mergeCell ref="D274:E274"/>
    <mergeCell ref="F274:G274"/>
    <mergeCell ref="H274:I274"/>
    <mergeCell ref="J274:K274"/>
    <mergeCell ref="B275:C275"/>
    <mergeCell ref="D275:E275"/>
    <mergeCell ref="F275:G275"/>
    <mergeCell ref="H275:I275"/>
    <mergeCell ref="J275:K275"/>
    <mergeCell ref="H217:I217"/>
    <mergeCell ref="J217:K217"/>
    <mergeCell ref="B246:C246"/>
    <mergeCell ref="D246:E246"/>
    <mergeCell ref="F246:G246"/>
    <mergeCell ref="H246:I246"/>
    <mergeCell ref="J246:K246"/>
    <mergeCell ref="A212:A213"/>
    <mergeCell ref="B212:D212"/>
    <mergeCell ref="B213:D213"/>
    <mergeCell ref="B217:C217"/>
    <mergeCell ref="D217:E217"/>
    <mergeCell ref="F217:G217"/>
    <mergeCell ref="B99:C99"/>
    <mergeCell ref="D99:E99"/>
    <mergeCell ref="F99:G99"/>
    <mergeCell ref="H99:I99"/>
    <mergeCell ref="J99:K99"/>
    <mergeCell ref="A208:A209"/>
    <mergeCell ref="B208:D208"/>
    <mergeCell ref="B209:D209"/>
    <mergeCell ref="A210:A211"/>
    <mergeCell ref="B210:D210"/>
    <mergeCell ref="B211:D211"/>
    <mergeCell ref="A136:B136"/>
    <mergeCell ref="A154:B154"/>
    <mergeCell ref="A204:A205"/>
    <mergeCell ref="B204:D204"/>
    <mergeCell ref="B205:D205"/>
    <mergeCell ref="A206:A207"/>
    <mergeCell ref="B206:D206"/>
    <mergeCell ref="B207:D207"/>
    <mergeCell ref="B95:C95"/>
    <mergeCell ref="D95:E95"/>
    <mergeCell ref="F95:G95"/>
    <mergeCell ref="H95:I95"/>
    <mergeCell ref="J95:K95"/>
    <mergeCell ref="B98:C98"/>
    <mergeCell ref="D98:E98"/>
    <mergeCell ref="F98:G98"/>
    <mergeCell ref="H98:I98"/>
    <mergeCell ref="J98:K98"/>
    <mergeCell ref="C16:G16"/>
    <mergeCell ref="B45:C45"/>
    <mergeCell ref="D45:E45"/>
    <mergeCell ref="F45:G45"/>
    <mergeCell ref="H45:I45"/>
    <mergeCell ref="J45:K45"/>
    <mergeCell ref="B84:C84"/>
    <mergeCell ref="D84:E84"/>
    <mergeCell ref="F84:G84"/>
    <mergeCell ref="H84:I84"/>
    <mergeCell ref="J84:K84"/>
  </mergeCells>
  <conditionalFormatting sqref="L44:M58 M35:M43">
    <cfRule type="expression" dxfId="77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82D0075-BE46-445B-B068-A74FA16D3249}">
            <xm:f>'R9'!$F$208&lt;&gt;$A$91</xm:f>
            <x14:dxf/>
          </x14:cfRule>
          <xm:sqref>M181:O181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W1</vt:lpstr>
      <vt:lpstr>W2</vt:lpstr>
      <vt:lpstr>W3</vt:lpstr>
      <vt:lpstr>W4</vt:lpstr>
      <vt:lpstr>W5</vt:lpstr>
      <vt:lpstr>W6</vt:lpstr>
      <vt:lpstr>W7</vt:lpstr>
      <vt:lpstr>W8</vt:lpstr>
      <vt:lpstr>W9</vt:lpstr>
      <vt:lpstr>W10</vt:lpstr>
      <vt:lpstr> Summary and Instructions</vt:lpstr>
      <vt:lpstr>Pilot Project Budget</vt:lpstr>
      <vt:lpstr>Subcontract 1</vt:lpstr>
      <vt:lpstr>Subcontract 2</vt:lpstr>
      <vt:lpstr>R9</vt:lpstr>
      <vt:lpstr>R10</vt:lpstr>
      <vt:lpstr>F9</vt:lpstr>
      <vt:lpstr>F10</vt:lpstr>
      <vt:lpstr>P9</vt:lpstr>
      <vt:lpstr>P10</vt:lpstr>
      <vt:lpstr>'Pilot Project Budget'!Print_Area</vt:lpstr>
      <vt:lpstr>'R10'!Print_Area</vt:lpstr>
      <vt:lpstr>'R9'!Print_Area</vt:lpstr>
      <vt:lpstr>'Subcontract 1'!Print_Area</vt:lpstr>
      <vt:lpstr>'Subcontract 2'!Print_Area</vt:lpstr>
    </vt:vector>
  </TitlesOfParts>
  <Company>UCDavis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Bunn</dc:creator>
  <cp:lastModifiedBy>Phillippa Savage</cp:lastModifiedBy>
  <cp:lastPrinted>2016-06-29T00:02:51Z</cp:lastPrinted>
  <dcterms:created xsi:type="dcterms:W3CDTF">2014-08-22T18:00:39Z</dcterms:created>
  <dcterms:modified xsi:type="dcterms:W3CDTF">2019-10-17T16:48:03Z</dcterms:modified>
</cp:coreProperties>
</file>